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3.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ämäTyökirja" defaultThemeVersion="124226"/>
  <bookViews>
    <workbookView xWindow="480" yWindow="1056" windowWidth="19680" windowHeight="8628" firstSheet="1" activeTab="4"/>
  </bookViews>
  <sheets>
    <sheet name="Tarkistettavaa" sheetId="17" state="hidden" r:id="rId1"/>
    <sheet name="Ohjeita" sheetId="13" r:id="rId2"/>
    <sheet name="Tulokset2" sheetId="16" state="hidden" r:id="rId3"/>
    <sheet name="Tulokset" sheetId="2" r:id="rId4"/>
    <sheet name="Lähtötiedot" sheetId="9" r:id="rId5"/>
    <sheet name="Karja" sheetId="3" r:id="rId6"/>
    <sheet name="Pelto" sheetId="5" r:id="rId7"/>
    <sheet name="RavinnetaseN" sheetId="6" r:id="rId8"/>
    <sheet name="Ammoniakki" sheetId="18" r:id="rId9"/>
    <sheet name="RavinnetaseP" sheetId="14" r:id="rId10"/>
    <sheet name="Talous" sheetId="8" r:id="rId11"/>
    <sheet name="Funktiot" sheetId="11" r:id="rId12"/>
    <sheet name="Ristitsekkausta" sheetId="10" r:id="rId13"/>
    <sheet name="Taul1" sheetId="12" r:id="rId14"/>
  </sheets>
  <definedNames>
    <definedName name="_xlnm._FilterDatabase" localSheetId="11" hidden="1">Funktiot!$A$1:$E$44</definedName>
    <definedName name="_xlnm._FilterDatabase" localSheetId="4" hidden="1">Lähtötiedot!$A$49:$L$246</definedName>
    <definedName name="_xlnm._FilterDatabase" localSheetId="7" hidden="1">RavinnetaseN!$E$2:$E$61</definedName>
    <definedName name="DM">Talous!$F$18</definedName>
    <definedName name="ekm_vuosituotos">Karja!$D$30</definedName>
    <definedName name="Elopaino">Lähtötiedot!$D$12</definedName>
    <definedName name="Ka_So">Funktiot!$C$9</definedName>
    <definedName name="Ka_virtsavakio">Funktiot!$C$10</definedName>
    <definedName name="lannoitus">Lähtötiedot!$D$24</definedName>
    <definedName name="lannoitusA">Funktiot!$C$25</definedName>
    <definedName name="maito_vuosituotos">Karja!$D$31</definedName>
    <definedName name="N_ruho">Funktiot!$C$13</definedName>
    <definedName name="N_virtsa">Funktiot!$C$12</definedName>
    <definedName name="Sato_apila">Funktiot!$C$26</definedName>
    <definedName name="Sato_kokovilja">Funktiot!$C$27</definedName>
    <definedName name="Sato_nurmi">Funktiot!$C$24</definedName>
    <definedName name="silageyield">Pelto!$D$12</definedName>
    <definedName name="subsidy">Talous!$C$7</definedName>
    <definedName name="Sulamaton_Diet">Funktiot!$C$4</definedName>
    <definedName name="Sulamaton_RV">Funktiot!$C$8</definedName>
    <definedName name="Sulamaton_umpi">Funktiot!$C$6</definedName>
    <definedName name="VasikanPaino">Funktiot!$C$17</definedName>
    <definedName name="weight">Talous!$H$18</definedName>
    <definedName name="wight">Talous!$H$18</definedName>
  </definedNames>
  <calcPr calcId="145621"/>
</workbook>
</file>

<file path=xl/calcChain.xml><?xml version="1.0" encoding="utf-8"?>
<calcChain xmlns="http://schemas.openxmlformats.org/spreadsheetml/2006/main">
  <c r="S6" i="18" l="1"/>
  <c r="Q6" i="18"/>
  <c r="S4" i="18" l="1"/>
  <c r="S5" i="18"/>
  <c r="S3" i="18"/>
  <c r="O5" i="18"/>
  <c r="Q5" i="18" s="1"/>
  <c r="O4" i="18"/>
  <c r="Q4" i="18" s="1"/>
  <c r="Q3" i="18"/>
  <c r="U64" i="18" l="1"/>
  <c r="V64" i="18"/>
  <c r="T64" i="18"/>
  <c r="U62" i="18"/>
  <c r="V62" i="18"/>
  <c r="T62" i="18"/>
  <c r="X21" i="3" l="1"/>
  <c r="Y21" i="3"/>
  <c r="Y20" i="3"/>
  <c r="X20" i="3"/>
  <c r="Y2" i="3" l="1"/>
  <c r="U2" i="3"/>
  <c r="V2" i="3"/>
  <c r="W2" i="3"/>
  <c r="X2" i="3" s="1"/>
  <c r="T2" i="3"/>
  <c r="G8" i="10" l="1"/>
  <c r="I6" i="10"/>
  <c r="K6" i="10" s="1"/>
  <c r="G6" i="10"/>
  <c r="G5" i="10"/>
  <c r="K4" i="10"/>
  <c r="I4" i="10"/>
  <c r="G16" i="10"/>
  <c r="G15" i="10"/>
  <c r="AF43" i="18" l="1"/>
  <c r="AG43" i="18"/>
  <c r="AE43" i="18"/>
  <c r="AE41" i="18"/>
  <c r="O155" i="9"/>
  <c r="O134" i="9"/>
  <c r="O113" i="9"/>
  <c r="Y57" i="18"/>
  <c r="Y58" i="18"/>
  <c r="Y59" i="18"/>
  <c r="Y56" i="18"/>
  <c r="X57" i="18"/>
  <c r="X58" i="18"/>
  <c r="X59" i="18"/>
  <c r="X56" i="18"/>
  <c r="F15" i="3"/>
  <c r="AG41" i="18"/>
  <c r="AG42" i="18" s="1"/>
  <c r="AF41" i="18"/>
  <c r="AF42" i="18"/>
  <c r="AE42" i="18"/>
  <c r="AD37" i="18"/>
  <c r="U57" i="18" l="1"/>
  <c r="V57" i="18"/>
  <c r="U58" i="18"/>
  <c r="V58" i="18"/>
  <c r="U59" i="18"/>
  <c r="V59" i="18"/>
  <c r="V56" i="18"/>
  <c r="U56" i="18"/>
  <c r="T58" i="18"/>
  <c r="T59" i="18"/>
  <c r="T57" i="18"/>
  <c r="T56" i="18"/>
  <c r="D93" i="6" l="1"/>
  <c r="D98" i="6"/>
  <c r="D99" i="6" s="1"/>
  <c r="F60" i="9"/>
  <c r="F81" i="9"/>
  <c r="F74" i="9"/>
  <c r="F67" i="9"/>
  <c r="H72" i="9"/>
  <c r="D81" i="9"/>
  <c r="D83" i="9"/>
  <c r="D74" i="9"/>
  <c r="D76" i="9"/>
  <c r="D60" i="9"/>
  <c r="D62" i="9"/>
  <c r="U26" i="3" l="1"/>
  <c r="R116" i="6"/>
  <c r="Q111" i="6" s="1"/>
  <c r="R115" i="6"/>
  <c r="R114" i="6"/>
  <c r="T111" i="6" l="1"/>
  <c r="S109" i="6"/>
  <c r="S108" i="6"/>
  <c r="Q110" i="6"/>
  <c r="T108" i="6" l="1"/>
  <c r="U108" i="6" s="1"/>
  <c r="T109" i="6"/>
  <c r="U109" i="6" s="1"/>
  <c r="S110" i="6"/>
  <c r="I107" i="6" l="1"/>
  <c r="P95" i="6"/>
  <c r="I111" i="6"/>
  <c r="U32" i="3"/>
  <c r="S111" i="6"/>
  <c r="T110" i="6"/>
  <c r="U110" i="6" s="1"/>
  <c r="U111" i="6" s="1"/>
  <c r="I119" i="6" l="1"/>
  <c r="F33" i="16"/>
  <c r="R38" i="16" l="1"/>
  <c r="R39" i="16" s="1"/>
  <c r="R40" i="16" s="1"/>
  <c r="J33" i="16"/>
  <c r="I34" i="16"/>
  <c r="I33" i="16"/>
  <c r="F44" i="16" l="1"/>
  <c r="H43" i="16" l="1"/>
  <c r="I44" i="16"/>
  <c r="F43" i="16"/>
  <c r="H42" i="16"/>
  <c r="H41" i="16"/>
  <c r="H44" i="16" l="1"/>
  <c r="I41" i="16"/>
  <c r="F34" i="16" s="1"/>
  <c r="J34" i="16" s="1"/>
  <c r="I43" i="16"/>
  <c r="F36" i="16" s="1"/>
  <c r="J36" i="16" s="1"/>
  <c r="I42" i="16"/>
  <c r="F35" i="16" s="1"/>
  <c r="J35" i="16" s="1"/>
  <c r="I35" i="16"/>
  <c r="I37" i="16" s="1"/>
  <c r="I36" i="16"/>
  <c r="J37" i="16" l="1"/>
  <c r="F37" i="16"/>
  <c r="L5" i="6"/>
  <c r="O95" i="9"/>
  <c r="J92" i="6" l="1"/>
  <c r="I94" i="6"/>
  <c r="I87" i="6"/>
  <c r="I88" i="6" s="1"/>
  <c r="I81" i="6"/>
  <c r="I74" i="6"/>
  <c r="C6" i="11"/>
  <c r="I67" i="6"/>
  <c r="I45" i="17" l="1"/>
  <c r="H42" i="17"/>
  <c r="H41" i="17"/>
  <c r="I40" i="17"/>
  <c r="E40" i="17"/>
  <c r="D40" i="17"/>
  <c r="C40" i="17"/>
  <c r="H39" i="17"/>
  <c r="E39" i="17"/>
  <c r="C39" i="17"/>
  <c r="H38" i="17"/>
  <c r="E38" i="17"/>
  <c r="C38" i="17"/>
  <c r="H37" i="17"/>
  <c r="E37" i="17"/>
  <c r="C37" i="17"/>
  <c r="N24" i="9"/>
  <c r="F1" i="9"/>
  <c r="C2" i="11" l="1"/>
  <c r="D34" i="3" s="1"/>
  <c r="I71" i="6" s="1"/>
  <c r="D11" i="3" l="1"/>
  <c r="I64" i="6" s="1"/>
  <c r="I11" i="3" l="1"/>
  <c r="J11" i="3"/>
  <c r="I65" i="6" s="1"/>
  <c r="I66" i="6" s="1"/>
  <c r="V13" i="3"/>
  <c r="U13" i="3"/>
  <c r="P13" i="3" s="1"/>
  <c r="U12" i="3"/>
  <c r="I108" i="6" l="1"/>
  <c r="I68" i="6"/>
  <c r="I69" i="6" s="1"/>
  <c r="L17" i="6" s="1"/>
  <c r="O13" i="3"/>
  <c r="K5" i="9"/>
  <c r="G13" i="3" l="1"/>
  <c r="D38" i="3" s="1"/>
  <c r="I13" i="3"/>
  <c r="W13" i="3"/>
  <c r="H13" i="3"/>
  <c r="J13" i="3"/>
  <c r="I79" i="6" s="1"/>
  <c r="F13" i="3"/>
  <c r="I7" i="6"/>
  <c r="J7" i="6" s="1"/>
  <c r="G11" i="3" l="1"/>
  <c r="AO37" i="18" s="1"/>
  <c r="H11" i="3"/>
  <c r="F11" i="3"/>
  <c r="X52" i="18"/>
  <c r="S52" i="18"/>
  <c r="N4" i="5" l="1"/>
  <c r="N5" i="5"/>
  <c r="N6" i="5" s="1"/>
  <c r="I51" i="14"/>
  <c r="S43" i="18" l="1"/>
  <c r="X43" i="18"/>
  <c r="X34" i="18"/>
  <c r="S34" i="18"/>
  <c r="X18" i="18"/>
  <c r="S18" i="18"/>
  <c r="S57" i="18" l="1"/>
  <c r="S58" i="18"/>
  <c r="S59" i="18"/>
  <c r="S56" i="18"/>
  <c r="J115" i="9" l="1"/>
  <c r="J116" i="9"/>
  <c r="J119" i="9"/>
  <c r="J114" i="9"/>
  <c r="N22" i="18"/>
  <c r="J94" i="9"/>
  <c r="J95" i="9"/>
  <c r="J93" i="9"/>
  <c r="D22" i="3" l="1"/>
  <c r="V42" i="5"/>
  <c r="D19" i="5"/>
  <c r="D18" i="5" s="1"/>
  <c r="G41" i="17" l="1"/>
  <c r="I41" i="17" s="1"/>
  <c r="I95" i="6"/>
  <c r="I85" i="6"/>
  <c r="I92" i="6" s="1"/>
  <c r="I89" i="6"/>
  <c r="I90" i="6" s="1"/>
  <c r="D20" i="5"/>
  <c r="C15" i="11" l="1"/>
  <c r="J49" i="3" l="1"/>
  <c r="J48" i="3"/>
  <c r="J50" i="3" s="1"/>
  <c r="J51" i="3" s="1"/>
  <c r="J52" i="3" s="1"/>
  <c r="N4" i="3"/>
  <c r="C7" i="11" l="1"/>
  <c r="C4" i="11"/>
  <c r="B8" i="2" l="1"/>
  <c r="B12" i="16" s="1"/>
  <c r="B9" i="2"/>
  <c r="B11" i="16" s="1"/>
  <c r="M24" i="16"/>
  <c r="M25" i="16"/>
  <c r="Q25" i="16"/>
  <c r="M23" i="16"/>
  <c r="N23" i="16"/>
  <c r="O23" i="16"/>
  <c r="P23" i="16"/>
  <c r="Q23" i="16"/>
  <c r="M21" i="16"/>
  <c r="Q21" i="16"/>
  <c r="M19" i="16"/>
  <c r="N19" i="16"/>
  <c r="O19" i="16"/>
  <c r="P19" i="16"/>
  <c r="Q19" i="16"/>
  <c r="M20" i="16"/>
  <c r="M4" i="16"/>
  <c r="M5" i="16"/>
  <c r="M6" i="16"/>
  <c r="M7" i="16"/>
  <c r="M11" i="16"/>
  <c r="N11" i="16"/>
  <c r="O11" i="16"/>
  <c r="P11" i="16"/>
  <c r="Q11" i="16"/>
  <c r="M12" i="16"/>
  <c r="M13" i="16"/>
  <c r="Q13" i="16"/>
  <c r="M15" i="16"/>
  <c r="N15" i="16"/>
  <c r="O15" i="16"/>
  <c r="P15" i="16"/>
  <c r="Q15" i="16"/>
  <c r="M16" i="16"/>
  <c r="M17" i="16"/>
  <c r="Q17" i="16"/>
  <c r="N3" i="16"/>
  <c r="O3" i="16"/>
  <c r="P3" i="16"/>
  <c r="Q3" i="16"/>
  <c r="N26" i="3"/>
  <c r="N25" i="3"/>
  <c r="P43" i="6" l="1"/>
  <c r="Q43" i="6" s="1"/>
  <c r="E24" i="16" l="1"/>
  <c r="E23" i="16"/>
  <c r="E22" i="16"/>
  <c r="E13" i="16"/>
  <c r="B3" i="16"/>
  <c r="P6" i="14" l="1"/>
  <c r="N6" i="14"/>
  <c r="L6" i="14"/>
  <c r="I6" i="14"/>
  <c r="O6" i="14" l="1"/>
  <c r="M6" i="14"/>
  <c r="D47" i="11"/>
  <c r="F46" i="11"/>
  <c r="G46" i="11" s="1"/>
  <c r="J5" i="6"/>
  <c r="P5" i="14" l="1"/>
  <c r="P5" i="6"/>
  <c r="Q5" i="6" s="1"/>
  <c r="D48" i="5"/>
  <c r="Q5" i="14" l="1"/>
  <c r="I49" i="14"/>
  <c r="H48" i="14"/>
  <c r="H37" i="14"/>
  <c r="I28" i="14"/>
  <c r="R14" i="14"/>
  <c r="S22" i="6"/>
  <c r="H21" i="14"/>
  <c r="R5" i="6" l="1"/>
  <c r="R5" i="14"/>
  <c r="I36" i="14" s="1"/>
  <c r="P15" i="14"/>
  <c r="D1" i="14"/>
  <c r="I10" i="14"/>
  <c r="I9" i="14"/>
  <c r="I8" i="14"/>
  <c r="I7" i="14"/>
  <c r="P3" i="14"/>
  <c r="H7" i="14"/>
  <c r="H8" i="14"/>
  <c r="H9" i="14"/>
  <c r="H10" i="14"/>
  <c r="H11" i="14"/>
  <c r="H16" i="14"/>
  <c r="H17" i="14"/>
  <c r="H19" i="14"/>
  <c r="S19" i="14"/>
  <c r="H20" i="14"/>
  <c r="H22" i="14"/>
  <c r="T22" i="14"/>
  <c r="H23" i="14"/>
  <c r="H24" i="14"/>
  <c r="G24" i="14"/>
  <c r="P24" i="3" l="1"/>
  <c r="P29" i="3" s="1"/>
  <c r="O24" i="3"/>
  <c r="M24" i="3"/>
  <c r="M29" i="3" s="1"/>
  <c r="J24" i="3"/>
  <c r="L24" i="3"/>
  <c r="L29" i="3" s="1"/>
  <c r="K24" i="3"/>
  <c r="K29" i="3" s="1"/>
  <c r="N24" i="3" l="1"/>
  <c r="D17" i="5" l="1"/>
  <c r="D25" i="3" l="1"/>
  <c r="D37" i="3"/>
  <c r="D32" i="3"/>
  <c r="D30" i="3"/>
  <c r="O30" i="18" s="1"/>
  <c r="AB28" i="18" s="1"/>
  <c r="I24" i="3" l="1"/>
  <c r="D12" i="3"/>
  <c r="I41" i="9"/>
  <c r="D25" i="9" l="1"/>
  <c r="C24" i="11" l="1"/>
  <c r="D12" i="5" l="1"/>
  <c r="D46" i="5"/>
  <c r="D13" i="5" l="1"/>
  <c r="C28" i="11"/>
  <c r="D45" i="5"/>
  <c r="C25" i="11" l="1"/>
  <c r="C26" i="11" s="1"/>
  <c r="D49" i="5"/>
  <c r="D47" i="5"/>
  <c r="G29" i="5"/>
  <c r="G27" i="5"/>
  <c r="G26" i="5"/>
  <c r="Q57" i="6" l="1"/>
  <c r="H7" i="2" l="1"/>
  <c r="H6" i="2" s="1"/>
  <c r="J4" i="2" s="1"/>
  <c r="J3" i="2" l="1"/>
  <c r="H5" i="2"/>
  <c r="J5" i="2" s="1"/>
  <c r="I40" i="3"/>
  <c r="H40" i="3"/>
  <c r="D41" i="9"/>
  <c r="D40" i="3"/>
  <c r="I33" i="6"/>
  <c r="C3" i="11"/>
  <c r="C38" i="11"/>
  <c r="J6" i="2" l="1"/>
  <c r="I46" i="6"/>
  <c r="C15" i="2"/>
  <c r="D14" i="5"/>
  <c r="N67" i="5" l="1"/>
  <c r="N79" i="5"/>
  <c r="D13" i="3" l="1"/>
  <c r="C30" i="11" s="1"/>
  <c r="B16" i="6" l="1"/>
  <c r="M16" i="6"/>
  <c r="C31" i="11"/>
  <c r="B17" i="6" s="1"/>
  <c r="I26" i="3" l="1"/>
  <c r="C27" i="11" l="1"/>
  <c r="D35" i="9"/>
  <c r="L29" i="5" l="1"/>
  <c r="L26" i="5"/>
  <c r="K29" i="5"/>
  <c r="D29" i="9"/>
  <c r="D26" i="9" s="1"/>
  <c r="O26" i="9" s="1"/>
  <c r="D21" i="5" l="1"/>
  <c r="D22" i="5"/>
  <c r="K26" i="5"/>
  <c r="J57" i="6"/>
  <c r="I14" i="16" l="1"/>
  <c r="D23" i="5"/>
  <c r="I8" i="6"/>
  <c r="J8" i="6" s="1"/>
  <c r="I10" i="6"/>
  <c r="I9" i="6"/>
  <c r="I6" i="6"/>
  <c r="I29" i="5"/>
  <c r="J29" i="5" s="1"/>
  <c r="I26" i="5"/>
  <c r="D41" i="3"/>
  <c r="J26" i="5" l="1"/>
  <c r="M22" i="6"/>
  <c r="J48" i="6" s="1"/>
  <c r="S22" i="14"/>
  <c r="M22" i="14" s="1"/>
  <c r="J40" i="14" s="1"/>
  <c r="H24" i="3"/>
  <c r="D31" i="3"/>
  <c r="M23" i="6" l="1"/>
  <c r="O31" i="18"/>
  <c r="AG37" i="18" s="1"/>
  <c r="R24" i="3"/>
  <c r="H29" i="3"/>
  <c r="M23" i="14"/>
  <c r="J39" i="14" s="1"/>
  <c r="J47" i="6" l="1"/>
  <c r="S24" i="3"/>
  <c r="S17" i="3" s="1"/>
  <c r="R29" i="3"/>
  <c r="S29" i="3" s="1"/>
  <c r="I104" i="6" s="1"/>
  <c r="I116" i="6" s="1"/>
  <c r="L8" i="6"/>
  <c r="L8" i="14" s="1"/>
  <c r="M8" i="14" s="1"/>
  <c r="Q33" i="16" l="1"/>
  <c r="M8" i="6"/>
  <c r="D39" i="3"/>
  <c r="I98" i="6" l="1"/>
  <c r="H26" i="3"/>
  <c r="J26" i="3"/>
  <c r="I78" i="6"/>
  <c r="I80" i="6" s="1"/>
  <c r="D17" i="3"/>
  <c r="D9" i="9"/>
  <c r="J38" i="3" s="1"/>
  <c r="H38" i="3" s="1"/>
  <c r="D33" i="3"/>
  <c r="D23" i="3"/>
  <c r="I82" i="6" l="1"/>
  <c r="I83" i="6" s="1"/>
  <c r="D35" i="3"/>
  <c r="O19" i="6"/>
  <c r="K67" i="5"/>
  <c r="P12" i="16" s="1"/>
  <c r="J29" i="3"/>
  <c r="M20" i="6"/>
  <c r="M20" i="14"/>
  <c r="K71" i="5"/>
  <c r="P16" i="16" s="1"/>
  <c r="D24" i="3"/>
  <c r="O29" i="3"/>
  <c r="K79" i="5" s="1"/>
  <c r="P24" i="16" s="1"/>
  <c r="J40" i="3"/>
  <c r="J49" i="6" l="1"/>
  <c r="J50" i="6" s="1"/>
  <c r="O42" i="18" s="1"/>
  <c r="AL37" i="18" s="1"/>
  <c r="I32" i="6"/>
  <c r="D26" i="3"/>
  <c r="D27" i="3" s="1"/>
  <c r="I110" i="6" s="1"/>
  <c r="J41" i="14"/>
  <c r="M24" i="14"/>
  <c r="J18" i="8"/>
  <c r="G18" i="8"/>
  <c r="I18" i="8" s="1"/>
  <c r="C4" i="8"/>
  <c r="D43" i="5"/>
  <c r="D44" i="5" s="1"/>
  <c r="H31" i="3" l="1"/>
  <c r="D28" i="3"/>
  <c r="D29" i="3"/>
  <c r="Q6" i="14" s="1"/>
  <c r="R6" i="14" s="1"/>
  <c r="I35" i="14" s="1"/>
  <c r="J31" i="3"/>
  <c r="R26" i="3"/>
  <c r="C12" i="8"/>
  <c r="C11" i="8"/>
  <c r="K18" i="8"/>
  <c r="R31" i="3" l="1"/>
  <c r="S31" i="3" s="1"/>
  <c r="N33" i="16"/>
  <c r="Q19" i="6"/>
  <c r="P17" i="6"/>
  <c r="S26" i="3"/>
  <c r="S19" i="3" s="1"/>
  <c r="I106" i="6" l="1"/>
  <c r="J10" i="6"/>
  <c r="J9" i="6"/>
  <c r="J6" i="6"/>
  <c r="C2" i="2"/>
  <c r="C6" i="16" s="1"/>
  <c r="I118" i="6" l="1"/>
  <c r="O33" i="16" s="1"/>
  <c r="C24" i="2"/>
  <c r="C3" i="2"/>
  <c r="C4" i="2" l="1"/>
  <c r="C7" i="16"/>
  <c r="M26" i="3"/>
  <c r="K26" i="3"/>
  <c r="P9" i="6" s="1"/>
  <c r="L26" i="3"/>
  <c r="P10" i="6" s="1"/>
  <c r="C25" i="2"/>
  <c r="L9" i="6"/>
  <c r="L9" i="14" s="1"/>
  <c r="M9" i="14" s="1"/>
  <c r="L10" i="6"/>
  <c r="L10" i="14" s="1"/>
  <c r="M10" i="14" s="1"/>
  <c r="M31" i="3" l="1"/>
  <c r="O26" i="3"/>
  <c r="O31" i="3" s="1"/>
  <c r="K31" i="3"/>
  <c r="L31" i="3"/>
  <c r="G7" i="5" s="1"/>
  <c r="P9" i="14"/>
  <c r="Q9" i="14" s="1"/>
  <c r="P10" i="14"/>
  <c r="Q10" i="14" s="1"/>
  <c r="M9" i="6"/>
  <c r="M10" i="6"/>
  <c r="L6" i="6"/>
  <c r="L7" i="14" l="1"/>
  <c r="L11" i="14" s="1"/>
  <c r="L16" i="14" s="1"/>
  <c r="L11" i="6"/>
  <c r="P8" i="6"/>
  <c r="Q8" i="6" s="1"/>
  <c r="I71" i="5"/>
  <c r="N16" i="16" s="1"/>
  <c r="G6" i="5"/>
  <c r="G8" i="5" s="1"/>
  <c r="P26" i="3"/>
  <c r="P7" i="6" s="1"/>
  <c r="P8" i="14"/>
  <c r="Q8" i="14" s="1"/>
  <c r="Q10" i="6"/>
  <c r="Q9" i="6"/>
  <c r="M6" i="6"/>
  <c r="M7" i="14" l="1"/>
  <c r="M11" i="14" s="1"/>
  <c r="M16" i="14" s="1"/>
  <c r="P11" i="6"/>
  <c r="Q7" i="6"/>
  <c r="Q11" i="6" s="1"/>
  <c r="R6" i="6"/>
  <c r="M11" i="6"/>
  <c r="M26" i="6" s="1"/>
  <c r="P31" i="3"/>
  <c r="P7" i="14"/>
  <c r="P11" i="14" s="1"/>
  <c r="G4" i="5"/>
  <c r="H4" i="5" s="1"/>
  <c r="I79" i="5"/>
  <c r="N24" i="16" s="1"/>
  <c r="L16" i="6"/>
  <c r="L18" i="6" l="1"/>
  <c r="I30" i="6"/>
  <c r="O36" i="18"/>
  <c r="AI37" i="18" s="1"/>
  <c r="M17" i="6"/>
  <c r="J3" i="18"/>
  <c r="I67" i="5"/>
  <c r="L17" i="14"/>
  <c r="L24" i="14" s="1"/>
  <c r="G3" i="5"/>
  <c r="Q7" i="14"/>
  <c r="Q11" i="14" s="1"/>
  <c r="Q16" i="14" s="1"/>
  <c r="M18" i="6" l="1"/>
  <c r="M24" i="6" s="1"/>
  <c r="N12" i="16"/>
  <c r="F3" i="18"/>
  <c r="P16" i="6"/>
  <c r="C33" i="11"/>
  <c r="I99" i="6" s="1"/>
  <c r="I100" i="6" s="1"/>
  <c r="I101" i="6" s="1"/>
  <c r="Q16" i="6" s="1"/>
  <c r="F36" i="3"/>
  <c r="A16" i="6"/>
  <c r="Q17" i="6" l="1"/>
  <c r="R16" i="6"/>
  <c r="Q24" i="6"/>
  <c r="P17" i="14"/>
  <c r="P18" i="6"/>
  <c r="A17" i="6"/>
  <c r="P16" i="14"/>
  <c r="P24" i="14"/>
  <c r="C34" i="11"/>
  <c r="C35" i="11" s="1"/>
  <c r="L3" i="18" l="1"/>
  <c r="H3" i="18" l="1"/>
  <c r="C16" i="2" l="1"/>
  <c r="H6" i="5"/>
  <c r="P47" i="6" l="1"/>
  <c r="D11" i="5"/>
  <c r="H3" i="5" s="1"/>
  <c r="D33" i="5" s="1"/>
  <c r="P46" i="6" l="1"/>
  <c r="D31" i="9"/>
  <c r="D14" i="3" l="1"/>
  <c r="H25" i="3"/>
  <c r="H39" i="3"/>
  <c r="I39" i="3" s="1"/>
  <c r="J39" i="3" s="1"/>
  <c r="J44" i="3" l="1"/>
  <c r="J41" i="3"/>
  <c r="R25" i="3"/>
  <c r="H30" i="3"/>
  <c r="H32" i="3" l="1"/>
  <c r="D45" i="3" s="1"/>
  <c r="S25" i="3"/>
  <c r="S18" i="3" s="1"/>
  <c r="R30" i="3"/>
  <c r="J42" i="3"/>
  <c r="S12" i="3" s="1"/>
  <c r="R12" i="3"/>
  <c r="I25" i="3"/>
  <c r="V12" i="3" l="1"/>
  <c r="P12" i="3" s="1"/>
  <c r="O12" i="3"/>
  <c r="F12" i="3" s="1"/>
  <c r="S30" i="3"/>
  <c r="R32" i="3"/>
  <c r="M25" i="3"/>
  <c r="O25" i="3" s="1"/>
  <c r="J25" i="3"/>
  <c r="S32" i="3" l="1"/>
  <c r="I105" i="6"/>
  <c r="I112" i="6" s="1"/>
  <c r="J112" i="6" s="1"/>
  <c r="K25" i="3"/>
  <c r="L25" i="3"/>
  <c r="J30" i="3"/>
  <c r="I12" i="3"/>
  <c r="G12" i="3"/>
  <c r="W12" i="3"/>
  <c r="H12" i="3" s="1"/>
  <c r="J12" i="3"/>
  <c r="I72" i="6" s="1"/>
  <c r="I73" i="6" s="1"/>
  <c r="I109" i="6" s="1"/>
  <c r="I113" i="6" s="1"/>
  <c r="B13" i="9"/>
  <c r="M30" i="3"/>
  <c r="D46" i="3" s="1"/>
  <c r="P25" i="3"/>
  <c r="J113" i="6" l="1"/>
  <c r="J114" i="6" s="1"/>
  <c r="R37" i="16" s="1"/>
  <c r="I114" i="6"/>
  <c r="I75" i="6"/>
  <c r="I76" i="6" s="1"/>
  <c r="N17" i="6" s="1"/>
  <c r="E13" i="9"/>
  <c r="N8" i="6"/>
  <c r="O8" i="6" s="1"/>
  <c r="R8" i="6" s="1"/>
  <c r="O30" i="3"/>
  <c r="I4" i="5" s="1"/>
  <c r="J4" i="5" s="1"/>
  <c r="N8" i="14"/>
  <c r="O8" i="14" s="1"/>
  <c r="R8" i="14" s="1"/>
  <c r="D47" i="3"/>
  <c r="D48" i="3" s="1"/>
  <c r="J32" i="3"/>
  <c r="N10" i="6"/>
  <c r="L30" i="3"/>
  <c r="L32" i="3" s="1"/>
  <c r="G42" i="17" s="1"/>
  <c r="I42" i="17" s="1"/>
  <c r="N7" i="14"/>
  <c r="N7" i="6"/>
  <c r="P30" i="3"/>
  <c r="D18" i="3"/>
  <c r="D19" i="3" s="1"/>
  <c r="D15" i="3"/>
  <c r="D16" i="3" s="1"/>
  <c r="N9" i="6"/>
  <c r="J45" i="3"/>
  <c r="K30" i="3"/>
  <c r="I6" i="5" s="1"/>
  <c r="J6" i="5" s="1"/>
  <c r="I117" i="6" l="1"/>
  <c r="N11" i="6"/>
  <c r="N16" i="6" s="1"/>
  <c r="N18" i="6" s="1"/>
  <c r="I3" i="5"/>
  <c r="D34" i="5" s="1"/>
  <c r="O35" i="3"/>
  <c r="J71" i="5"/>
  <c r="K32" i="3"/>
  <c r="D49" i="3"/>
  <c r="J56" i="6"/>
  <c r="I45" i="6" s="1"/>
  <c r="D7" i="5"/>
  <c r="Q7" i="5" s="1"/>
  <c r="I48" i="14"/>
  <c r="I37" i="14" s="1"/>
  <c r="J44" i="14" s="1"/>
  <c r="J46" i="3"/>
  <c r="J67" i="5"/>
  <c r="P32" i="3"/>
  <c r="O10" i="6"/>
  <c r="R10" i="6" s="1"/>
  <c r="N10" i="14"/>
  <c r="O10" i="14" s="1"/>
  <c r="R10" i="14" s="1"/>
  <c r="J79" i="5"/>
  <c r="O32" i="3"/>
  <c r="O34" i="3" s="1"/>
  <c r="N9" i="14"/>
  <c r="O9" i="14" s="1"/>
  <c r="R9" i="14" s="1"/>
  <c r="O9" i="6"/>
  <c r="R9" i="6" s="1"/>
  <c r="O7" i="6"/>
  <c r="O7" i="14"/>
  <c r="C21" i="2" l="1"/>
  <c r="AQ37" i="18"/>
  <c r="P33" i="16"/>
  <c r="R33" i="16" s="1"/>
  <c r="R43" i="16" s="1"/>
  <c r="I120" i="6"/>
  <c r="O11" i="6"/>
  <c r="O36" i="3"/>
  <c r="J3" i="5"/>
  <c r="O11" i="14"/>
  <c r="O16" i="14" s="1"/>
  <c r="R16" i="14" s="1"/>
  <c r="R24" i="14" s="1"/>
  <c r="R7" i="14"/>
  <c r="R11" i="14" s="1"/>
  <c r="N29" i="14" s="1"/>
  <c r="O12" i="16"/>
  <c r="L67" i="5"/>
  <c r="C25" i="8"/>
  <c r="D6" i="5"/>
  <c r="D5" i="5"/>
  <c r="R7" i="6"/>
  <c r="R11" i="6" s="1"/>
  <c r="D43" i="3"/>
  <c r="D4" i="5"/>
  <c r="N16" i="14"/>
  <c r="N17" i="14"/>
  <c r="D42" i="3"/>
  <c r="D3" i="5"/>
  <c r="G37" i="17" s="1"/>
  <c r="L71" i="5"/>
  <c r="O16" i="16"/>
  <c r="N11" i="14"/>
  <c r="O24" i="16"/>
  <c r="R42" i="16" l="1"/>
  <c r="I37" i="17"/>
  <c r="G38" i="17"/>
  <c r="I38" i="17" s="1"/>
  <c r="D27" i="5"/>
  <c r="Q6" i="5"/>
  <c r="G39" i="17"/>
  <c r="I39" i="17" s="1"/>
  <c r="D8" i="5"/>
  <c r="Q5" i="5"/>
  <c r="D29" i="5"/>
  <c r="C24" i="8"/>
  <c r="C23" i="8"/>
  <c r="Q3" i="5"/>
  <c r="D26" i="5"/>
  <c r="D37" i="17" s="1"/>
  <c r="I72" i="5"/>
  <c r="Q16" i="16"/>
  <c r="K72" i="5"/>
  <c r="I68" i="5"/>
  <c r="N13" i="16" s="1"/>
  <c r="K68" i="5"/>
  <c r="P13" i="16" s="1"/>
  <c r="Q12" i="16"/>
  <c r="J72" i="5"/>
  <c r="D36" i="3"/>
  <c r="C32" i="11" s="1"/>
  <c r="O16" i="6" s="1"/>
  <c r="L79" i="5"/>
  <c r="Q4" i="5"/>
  <c r="O43" i="6"/>
  <c r="I43" i="6" s="1"/>
  <c r="I50" i="14"/>
  <c r="I38" i="14" s="1"/>
  <c r="L75" i="5"/>
  <c r="Q20" i="16" s="1"/>
  <c r="D28" i="5"/>
  <c r="J68" i="5"/>
  <c r="O13" i="16" s="1"/>
  <c r="N30" i="14"/>
  <c r="O30" i="14" s="1"/>
  <c r="I27" i="14"/>
  <c r="I29" i="14" s="1"/>
  <c r="I30" i="14" s="1"/>
  <c r="I38" i="6" l="1"/>
  <c r="K3" i="18"/>
  <c r="O17" i="6"/>
  <c r="R17" i="6" s="1"/>
  <c r="Q8" i="5"/>
  <c r="D38" i="5"/>
  <c r="D38" i="17"/>
  <c r="I43" i="17"/>
  <c r="I46" i="17" s="1"/>
  <c r="K39" i="5"/>
  <c r="D39" i="17"/>
  <c r="D37" i="5"/>
  <c r="G43" i="17"/>
  <c r="N43" i="5"/>
  <c r="N53" i="5" s="1"/>
  <c r="K42" i="5"/>
  <c r="D36" i="5"/>
  <c r="K60" i="5"/>
  <c r="P5" i="16" s="1"/>
  <c r="O17" i="16"/>
  <c r="J76" i="5"/>
  <c r="M29" i="5"/>
  <c r="N29" i="5"/>
  <c r="C9" i="2"/>
  <c r="C11" i="16" s="1"/>
  <c r="I60" i="5"/>
  <c r="N5" i="16" s="1"/>
  <c r="I80" i="5"/>
  <c r="K80" i="5"/>
  <c r="Q24" i="16"/>
  <c r="J80" i="5"/>
  <c r="C7" i="2"/>
  <c r="C10" i="16" s="1"/>
  <c r="K27" i="5"/>
  <c r="N27" i="5" s="1"/>
  <c r="N35" i="5" s="1"/>
  <c r="I62" i="5"/>
  <c r="N7" i="16" s="1"/>
  <c r="L27" i="5"/>
  <c r="M27" i="5" s="1"/>
  <c r="M35" i="5" s="1"/>
  <c r="I27" i="5"/>
  <c r="C26" i="8"/>
  <c r="C28" i="8" s="1"/>
  <c r="C45" i="2" s="1"/>
  <c r="C24" i="16" s="1"/>
  <c r="L60" i="5"/>
  <c r="Q5" i="16" s="1"/>
  <c r="K76" i="5"/>
  <c r="P17" i="16"/>
  <c r="C8" i="2"/>
  <c r="C12" i="16" s="1"/>
  <c r="I61" i="5"/>
  <c r="N6" i="16" s="1"/>
  <c r="O27" i="18"/>
  <c r="AB37" i="18" s="1"/>
  <c r="M26" i="5"/>
  <c r="D31" i="5"/>
  <c r="C6" i="2"/>
  <c r="C9" i="16" s="1"/>
  <c r="P48" i="6"/>
  <c r="P49" i="6" s="1"/>
  <c r="I44" i="6" s="1"/>
  <c r="I59" i="5"/>
  <c r="N26" i="5"/>
  <c r="N17" i="16"/>
  <c r="I76" i="5"/>
  <c r="J60" i="5"/>
  <c r="O5" i="16" s="1"/>
  <c r="O32" i="18"/>
  <c r="R37" i="18" s="1"/>
  <c r="P25" i="16" l="1"/>
  <c r="L62" i="5"/>
  <c r="Q7" i="16" s="1"/>
  <c r="M3" i="18"/>
  <c r="E15" i="18" s="1"/>
  <c r="O18" i="6"/>
  <c r="O24" i="6" s="1"/>
  <c r="I31" i="6"/>
  <c r="I34" i="6" s="1"/>
  <c r="G3" i="18"/>
  <c r="D43" i="17"/>
  <c r="I63" i="5"/>
  <c r="N8" i="16" s="1"/>
  <c r="R27" i="5"/>
  <c r="S27" i="5" s="1"/>
  <c r="T27" i="5" s="1"/>
  <c r="U27" i="5" s="1"/>
  <c r="V27" i="5" s="1"/>
  <c r="D39" i="5"/>
  <c r="N31" i="5"/>
  <c r="L61" i="5"/>
  <c r="Q6" i="16" s="1"/>
  <c r="K36" i="5"/>
  <c r="N36" i="5" s="1"/>
  <c r="P27" i="5" s="1"/>
  <c r="J27" i="5"/>
  <c r="M31" i="5"/>
  <c r="K61" i="5"/>
  <c r="P6" i="16" s="1"/>
  <c r="O21" i="16"/>
  <c r="J75" i="5"/>
  <c r="O20" i="16" s="1"/>
  <c r="N21" i="16"/>
  <c r="I75" i="5"/>
  <c r="N20" i="16" s="1"/>
  <c r="J61" i="5"/>
  <c r="O6" i="16" s="1"/>
  <c r="P21" i="16"/>
  <c r="K75" i="5"/>
  <c r="P20" i="16" s="1"/>
  <c r="O25" i="16"/>
  <c r="K62" i="5"/>
  <c r="P7" i="16" s="1"/>
  <c r="K59" i="5"/>
  <c r="J59" i="5"/>
  <c r="N4" i="16"/>
  <c r="L7" i="16" s="1"/>
  <c r="L59" i="5"/>
  <c r="D32" i="5"/>
  <c r="O25" i="18" s="1"/>
  <c r="R12" i="18" s="1"/>
  <c r="C13" i="8"/>
  <c r="C14" i="8" s="1"/>
  <c r="C30" i="8" s="1"/>
  <c r="C5" i="2"/>
  <c r="J45" i="14"/>
  <c r="C42" i="2" s="1"/>
  <c r="C23" i="16" s="1"/>
  <c r="N25" i="16"/>
  <c r="J62" i="5"/>
  <c r="O7" i="16" s="1"/>
  <c r="E3" i="18" l="1"/>
  <c r="E16" i="18" s="1"/>
  <c r="O29" i="18"/>
  <c r="Q4" i="16"/>
  <c r="L63" i="5"/>
  <c r="L64" i="5" s="1"/>
  <c r="P4" i="16"/>
  <c r="K63" i="5"/>
  <c r="K64" i="5" s="1"/>
  <c r="O4" i="16"/>
  <c r="J63" i="5"/>
  <c r="H27" i="5"/>
  <c r="C12" i="2"/>
  <c r="C10" i="2"/>
  <c r="C13" i="16" s="1"/>
  <c r="Q58" i="6"/>
  <c r="Q60" i="6" s="1"/>
  <c r="C39" i="2" s="1"/>
  <c r="C32" i="8"/>
  <c r="C31" i="8"/>
  <c r="C44" i="2" s="1"/>
  <c r="R28" i="18" l="1"/>
  <c r="O38" i="18"/>
  <c r="AF37" i="18" s="1"/>
  <c r="E4" i="18"/>
  <c r="E17" i="18"/>
  <c r="E19" i="18"/>
  <c r="E21" i="18" s="1"/>
  <c r="E22" i="18" s="1"/>
  <c r="M63" i="5"/>
  <c r="J64" i="5"/>
  <c r="M64" i="5" s="1"/>
  <c r="E24" i="18" l="1"/>
  <c r="E8" i="18"/>
  <c r="E25" i="18" l="1"/>
  <c r="E26" i="18" s="1"/>
  <c r="F8" i="18"/>
  <c r="E27" i="18" l="1"/>
  <c r="E9" i="18" l="1"/>
  <c r="E29" i="18"/>
  <c r="E31" i="18" l="1"/>
  <c r="E32" i="18" s="1"/>
  <c r="E33" i="18" s="1"/>
  <c r="E10" i="18" s="1"/>
  <c r="E7" i="18" s="1"/>
  <c r="O34" i="18" s="1"/>
  <c r="C17" i="16" s="1"/>
  <c r="C19" i="16" s="1"/>
  <c r="E35" i="18"/>
  <c r="E37" i="18" s="1"/>
  <c r="E38" i="18" s="1"/>
  <c r="E39" i="18" s="1"/>
  <c r="F10" i="18" s="1"/>
  <c r="F9" i="18"/>
  <c r="E11" i="18"/>
  <c r="R46" i="18" l="1"/>
  <c r="AE37" i="18"/>
  <c r="E13" i="18"/>
  <c r="E12" i="18"/>
  <c r="I36" i="6"/>
  <c r="F13" i="18"/>
  <c r="F11" i="18"/>
  <c r="F12" i="18" s="1"/>
  <c r="F7" i="18"/>
  <c r="O35" i="18" s="1"/>
  <c r="C18" i="16" s="1"/>
  <c r="C20" i="16" s="1"/>
  <c r="O23" i="18" l="1"/>
  <c r="M12" i="18"/>
  <c r="M13" i="18"/>
  <c r="O24" i="18"/>
  <c r="C40" i="2"/>
  <c r="C16" i="16" s="1"/>
  <c r="I35" i="6"/>
  <c r="I37" i="6" l="1"/>
  <c r="R35" i="16"/>
  <c r="R41" i="16" s="1"/>
  <c r="I39" i="6" s="1"/>
  <c r="M34" i="5"/>
  <c r="J53" i="6"/>
  <c r="I49" i="17" s="1"/>
  <c r="M37" i="5" l="1"/>
  <c r="M38" i="5" s="1"/>
  <c r="M40" i="5" s="1"/>
  <c r="AP37" i="18"/>
  <c r="R36" i="16"/>
  <c r="N34" i="5"/>
  <c r="N37" i="5" s="1"/>
  <c r="C31" i="2"/>
  <c r="N38" i="5" l="1"/>
  <c r="M41" i="5"/>
  <c r="M44" i="5" s="1"/>
  <c r="M46" i="5" s="1"/>
  <c r="M47" i="5" s="1"/>
  <c r="R29" i="5" l="1"/>
  <c r="S29" i="5" s="1"/>
  <c r="T29" i="5" s="1"/>
  <c r="U29" i="5" s="1"/>
  <c r="V29" i="5" s="1"/>
  <c r="N39" i="5"/>
  <c r="H29" i="5" s="1"/>
  <c r="N40" i="5"/>
  <c r="N41" i="5" s="1"/>
  <c r="X13" i="5" l="1"/>
  <c r="X15" i="5" s="1"/>
  <c r="N52" i="5"/>
  <c r="Q52" i="5" s="1"/>
  <c r="R26" i="5"/>
  <c r="S26" i="5" s="1"/>
  <c r="P29" i="5"/>
  <c r="C37" i="2" s="1"/>
  <c r="N51" i="5"/>
  <c r="N44" i="5"/>
  <c r="N46" i="5" s="1"/>
  <c r="T26" i="5" l="1"/>
  <c r="U26" i="5" s="1"/>
  <c r="V26" i="5" s="1"/>
  <c r="I34" i="14" s="1"/>
  <c r="J42" i="14" s="1"/>
  <c r="J43" i="14" s="1"/>
  <c r="N50" i="5" s="1"/>
  <c r="AR37" i="18"/>
  <c r="N42" i="5"/>
  <c r="H26" i="5" s="1"/>
  <c r="N47" i="5"/>
  <c r="J54" i="6"/>
  <c r="C32" i="2" s="1"/>
  <c r="C41" i="2" l="1"/>
  <c r="C22" i="16" s="1"/>
  <c r="N54" i="5"/>
  <c r="N55" i="5" s="1"/>
  <c r="P26" i="5"/>
  <c r="X16" i="5"/>
  <c r="C33" i="2"/>
  <c r="P24" i="9"/>
  <c r="C36" i="2" l="1"/>
  <c r="P31" i="5"/>
  <c r="C34" i="2" s="1"/>
  <c r="C35" i="2" s="1"/>
  <c r="O28" i="18"/>
  <c r="I42" i="6" l="1"/>
  <c r="Q31" i="5"/>
  <c r="C20" i="2" s="1"/>
  <c r="M27" i="6" l="1"/>
  <c r="O37" i="18" s="1"/>
  <c r="AH37" i="18" s="1"/>
  <c r="O43" i="18"/>
  <c r="AM37" i="18" s="1"/>
  <c r="I50" i="6"/>
  <c r="O41" i="18" s="1"/>
  <c r="AK37" i="18" s="1"/>
  <c r="AN37" i="18" s="1"/>
  <c r="J51" i="6"/>
  <c r="C28" i="2" s="1"/>
  <c r="J52" i="6" l="1"/>
  <c r="O26" i="18" s="1"/>
  <c r="AB12" i="18" s="1"/>
  <c r="C29" i="2" l="1"/>
  <c r="C15" i="16" s="1"/>
</calcChain>
</file>

<file path=xl/comments1.xml><?xml version="1.0" encoding="utf-8"?>
<comments xmlns="http://schemas.openxmlformats.org/spreadsheetml/2006/main">
  <authors>
    <author>Sairanen Auvo</author>
  </authors>
  <commentList>
    <comment ref="H32" authorId="0">
      <text>
        <r>
          <rPr>
            <b/>
            <sz val="9"/>
            <color indexed="81"/>
            <rFont val="Tahoma"/>
            <family val="2"/>
          </rPr>
          <t>Nitraattidirektiivi</t>
        </r>
      </text>
    </comment>
  </commentList>
</comments>
</file>

<file path=xl/comments2.xml><?xml version="1.0" encoding="utf-8"?>
<comments xmlns="http://schemas.openxmlformats.org/spreadsheetml/2006/main">
  <authors>
    <author>Sairanen Auvo</author>
  </authors>
  <commentList>
    <comment ref="C6" authorId="0">
      <text>
        <r>
          <rPr>
            <b/>
            <sz val="8"/>
            <color indexed="81"/>
            <rFont val="Tahoma"/>
            <family val="2"/>
          </rPr>
          <t>Tilalla kasvatettavien hiehojen määrä per karjakoko</t>
        </r>
      </text>
    </comment>
    <comment ref="D24" authorId="0">
      <text>
        <r>
          <rPr>
            <b/>
            <sz val="9"/>
            <color indexed="81"/>
            <rFont val="Tahoma"/>
            <family val="2"/>
          </rPr>
          <t>Totaalimäärä. Apilatapauksessa sisältää myös typensidonnan</t>
        </r>
      </text>
    </comment>
    <comment ref="D28" authorId="0">
      <text>
        <r>
          <rPr>
            <b/>
            <sz val="9"/>
            <color indexed="81"/>
            <rFont val="Tahoma"/>
            <family val="2"/>
          </rPr>
          <t>Vaikuttaa suoraan levitettävään lietemäärään.
Jos liete ei riitä, niin lukua täytyy pienentää. Erotuksena ostolannoitemäärä lisääntyy</t>
        </r>
      </text>
    </comment>
    <comment ref="D31" authorId="0">
      <text>
        <r>
          <rPr>
            <b/>
            <sz val="9"/>
            <color indexed="81"/>
            <rFont val="Tahoma"/>
            <family val="2"/>
          </rPr>
          <t>Satotasoa ei anneta suoraan minnekkään. Sato riippuu pellon kasvuluokasta D30 ja typpilannoitustasosta D21</t>
        </r>
      </text>
    </comment>
    <comment ref="D42" authorId="0">
      <text>
        <r>
          <rPr>
            <b/>
            <sz val="9"/>
            <color indexed="81"/>
            <rFont val="Tahoma"/>
            <family val="2"/>
          </rPr>
          <t xml:space="preserve">Viljalle ei voi antaa kuin max 55 kg liuk N, koska fosfori tulee vastaan. Max P viljalle on 16 kg/ha ja liete sisältää 0.5 kg/m3. Tekee max 32 m3 lietettä, joka taas on 54 kg liuk N
</t>
        </r>
      </text>
    </comment>
    <comment ref="C44" authorId="0">
      <text>
        <r>
          <rPr>
            <b/>
            <sz val="8"/>
            <color indexed="81"/>
            <rFont val="Tahoma"/>
            <family val="2"/>
          </rPr>
          <t>Maatilan keskisato, huomioi suojaviljan matalan satotason</t>
        </r>
      </text>
    </comment>
    <comment ref="H51" authorId="0">
      <text>
        <r>
          <rPr>
            <b/>
            <sz val="9"/>
            <color indexed="81"/>
            <rFont val="Tahoma"/>
            <family val="2"/>
          </rPr>
          <t>ohran ja kauran P samansuuruinen</t>
        </r>
      </text>
    </comment>
    <comment ref="H56" authorId="0">
      <text>
        <r>
          <rPr>
            <b/>
            <sz val="9"/>
            <color indexed="81"/>
            <rFont val="Tahoma"/>
            <family val="2"/>
          </rPr>
          <t>Kinnusen myllyn täyskivennäinen 5 g/kaka, Lypsy Hertta 5
Raisiolla 2 g/kgka</t>
        </r>
      </text>
    </comment>
    <comment ref="H93" authorId="0">
      <text>
        <r>
          <rPr>
            <b/>
            <sz val="9"/>
            <color indexed="81"/>
            <rFont val="Tahoma"/>
            <family val="2"/>
          </rPr>
          <t>ohran ja kauran P samansuuruinen</t>
        </r>
      </text>
    </comment>
    <comment ref="H98" authorId="0">
      <text>
        <r>
          <rPr>
            <b/>
            <sz val="9"/>
            <color indexed="81"/>
            <rFont val="Tahoma"/>
            <family val="2"/>
          </rPr>
          <t>Kinnusen myllyn täyskivennäinen 5 g/kaka, Lypsy Hertta 5
Raisiolla 2 g/kgka</t>
        </r>
      </text>
    </comment>
    <comment ref="D102" authorId="0">
      <text>
        <r>
          <rPr>
            <b/>
            <sz val="9"/>
            <color indexed="81"/>
            <rFont val="Tahoma"/>
            <family val="2"/>
          </rPr>
          <t>Korjattu / arvattu painovirhepaholainen</t>
        </r>
      </text>
    </comment>
    <comment ref="H135" authorId="0">
      <text>
        <r>
          <rPr>
            <b/>
            <sz val="9"/>
            <color indexed="81"/>
            <rFont val="Tahoma"/>
            <family val="2"/>
          </rPr>
          <t>ohran ja kauran P samansuuruinen</t>
        </r>
      </text>
    </comment>
  </commentList>
</comments>
</file>

<file path=xl/comments3.xml><?xml version="1.0" encoding="utf-8"?>
<comments xmlns="http://schemas.openxmlformats.org/spreadsheetml/2006/main">
  <authors>
    <author>Sairanen Auvo</author>
  </authors>
  <commentList>
    <comment ref="D3" authorId="0">
      <text>
        <r>
          <rPr>
            <b/>
            <sz val="8"/>
            <color indexed="81"/>
            <rFont val="Tahoma"/>
            <family val="2"/>
          </rPr>
          <t>Rehujen järjestystä ei saa muuttaa, koska jatkolaskenta on fixattu näille riveille</t>
        </r>
      </text>
    </comment>
    <comment ref="T12" authorId="0">
      <text>
        <r>
          <rPr>
            <b/>
            <sz val="9"/>
            <color indexed="81"/>
            <rFont val="Tahoma"/>
            <family val="2"/>
          </rPr>
          <t>Umppareiden kohdalla kivennäisen osuus vähentää säilörehun osuutta, ei jaksa hienosäätää väkirehukomponentille</t>
        </r>
      </text>
    </comment>
    <comment ref="N13" authorId="0">
      <text>
        <r>
          <rPr>
            <b/>
            <sz val="9"/>
            <color indexed="81"/>
            <rFont val="Tahoma"/>
            <family val="2"/>
          </rPr>
          <t>Uudisporukalle dieetti on vakio, peräisin Narutestistä</t>
        </r>
      </text>
    </comment>
    <comment ref="D15" authorId="0">
      <text>
        <r>
          <rPr>
            <b/>
            <sz val="8"/>
            <color indexed="81"/>
            <rFont val="Tahoma"/>
            <family val="2"/>
          </rPr>
          <t>kivennäisten typpi puuttuu, eipä sitä kyllä oikeasti edes ole</t>
        </r>
      </text>
    </comment>
    <comment ref="S24" authorId="0">
      <text>
        <r>
          <rPr>
            <b/>
            <sz val="9"/>
            <color indexed="81"/>
            <rFont val="Tahoma"/>
            <family val="2"/>
          </rPr>
          <t>Sairanen Auvo:</t>
        </r>
        <r>
          <rPr>
            <sz val="9"/>
            <color indexed="81"/>
            <rFont val="Tahoma"/>
            <family val="2"/>
          </rPr>
          <t xml:space="preserve">
Määrää nostaa juotu vesimäärä</t>
        </r>
      </text>
    </comment>
    <comment ref="L25" authorId="0">
      <text>
        <r>
          <rPr>
            <b/>
            <sz val="9"/>
            <color indexed="81"/>
            <rFont val="Tahoma"/>
            <family val="2"/>
          </rPr>
          <t>Pidetään rypsin osuus väkirehussa vakiona, 20 %</t>
        </r>
      </text>
    </comment>
    <comment ref="M25" authorId="0">
      <text>
        <r>
          <rPr>
            <b/>
            <sz val="9"/>
            <color indexed="81"/>
            <rFont val="Tahoma"/>
            <family val="2"/>
          </rPr>
          <t>Kivennäinen muuttuu nyt viljaksi ja rypsiksi. Ei kannata investoida kivennäiselle omaa saraketta</t>
        </r>
      </text>
    </comment>
    <comment ref="N25" authorId="0">
      <text>
        <r>
          <rPr>
            <b/>
            <sz val="9"/>
            <color indexed="81"/>
            <rFont val="Tahoma"/>
            <family val="2"/>
          </rPr>
          <t>Sairanen Auvo:</t>
        </r>
        <r>
          <rPr>
            <sz val="9"/>
            <color indexed="81"/>
            <rFont val="Tahoma"/>
            <family val="2"/>
          </rPr>
          <t xml:space="preserve">
Kaava muutettu. Alun perin jos lehmille ei ollut valittu kokoviljaa niin tähän tuli nolla. Samoin hiehoille. Muutoksen jälkeen hiehoille voilaittaa kokoviljaa riippumatta lehmistä</t>
        </r>
      </text>
    </comment>
    <comment ref="R25" authorId="0">
      <text>
        <r>
          <rPr>
            <b/>
            <sz val="8"/>
            <color indexed="81"/>
            <rFont val="Tahoma"/>
            <family val="2"/>
          </rPr>
          <t>Umpilehmillä sulavuus Jounin kaavoilla yllättäen lypsylehmiä huonompi. Tietysti perusrehut on heikosti sulavia</t>
        </r>
      </text>
    </comment>
    <comment ref="G26" authorId="0">
      <text>
        <r>
          <rPr>
            <b/>
            <sz val="9"/>
            <color indexed="81"/>
            <rFont val="Tahoma"/>
            <family val="2"/>
          </rPr>
          <t>Hiehon ruokinta vasikkakauden ulkopuolella. Vasikkarehut ostetaan tai maitoa, ei tuoteta pellolla
Hiehorivi on yhtä navetassa olevaa hiehoa kohti. Uudistusprosentti huomioidaan kun tämä rivi käännetään alla karjakohtaiseksi kulutukseksi</t>
        </r>
      </text>
    </comment>
    <comment ref="I26" authorId="0">
      <text>
        <r>
          <rPr>
            <b/>
            <sz val="8"/>
            <color indexed="81"/>
            <rFont val="Tahoma"/>
            <family val="2"/>
          </rPr>
          <t>Luvun voi antaa vakiona, koska hiehojen ruokinta voi olla strattegiariippumaton</t>
        </r>
      </text>
    </comment>
    <comment ref="U26" authorId="0">
      <text>
        <r>
          <rPr>
            <b/>
            <sz val="9"/>
            <color indexed="81"/>
            <rFont val="Tahoma"/>
            <family val="2"/>
          </rPr>
          <t xml:space="preserve">Yksi vasu ei viivy karjassa 60 pv. Sonnivasut häviää aiemmin. </t>
        </r>
      </text>
    </comment>
    <comment ref="D27" authorId="0">
      <text>
        <r>
          <rPr>
            <b/>
            <sz val="9"/>
            <color indexed="81"/>
            <rFont val="Tahoma"/>
            <family val="2"/>
          </rPr>
          <t xml:space="preserve">Tätä lukua käytetään RavinnetaseN sivulla, jossa myös laskuri yli 60 pv eläinten lukumäärälle
</t>
        </r>
      </text>
    </comment>
    <comment ref="G28" authorId="0">
      <text>
        <r>
          <rPr>
            <b/>
            <sz val="8"/>
            <color indexed="81"/>
            <rFont val="Tahoma"/>
            <family val="2"/>
          </rPr>
          <t>Varastotappiot ei tässä mukana</t>
        </r>
      </text>
    </comment>
    <comment ref="D30" authorId="0">
      <text>
        <r>
          <rPr>
            <b/>
            <sz val="8"/>
            <color indexed="81"/>
            <rFont val="Tahoma"/>
            <family val="2"/>
          </rPr>
          <t>Päivätuotos x tuotoskausi päivissä</t>
        </r>
      </text>
    </comment>
    <comment ref="U32" authorId="0">
      <text>
        <r>
          <rPr>
            <b/>
            <sz val="9"/>
            <color indexed="81"/>
            <rFont val="Tahoma"/>
            <family val="2"/>
          </rPr>
          <t>Lehmävasikoitten määrä tulee Ravinnetas N sivun laskurista, joka antaa tarvittavan lehmävasikkaluvun eloon
Sonnivasikat veikaten 25 % lisää
Varalta kasvatettavat lehmävasut vielä lisää. Sanotaan 35 % lisäys minimiin</t>
        </r>
      </text>
    </comment>
    <comment ref="D34" authorId="0">
      <text>
        <r>
          <rPr>
            <sz val="8"/>
            <color indexed="81"/>
            <rFont val="Tahoma"/>
            <family val="2"/>
          </rPr>
          <t>ylläpito + tiineyslisä + energiapitoisuus lähtötiedoista, sama kuin Narutesti</t>
        </r>
      </text>
    </comment>
    <comment ref="D37" authorId="0">
      <text>
        <r>
          <rPr>
            <b/>
            <sz val="8"/>
            <color indexed="81"/>
            <rFont val="Tahoma"/>
            <family val="2"/>
          </rPr>
          <t>Hiehoille annetaan rehuvarastosta matalan D-arvon säilörehua tai kokoviljaa. Tällöin lehmien rehuannoksen keskimääräinen D-arvo käytännössä nousee annettua suuremmaksi. Varastojaon huomioiminen mutkistaisi taulukkoa melkoisesti</t>
        </r>
      </text>
    </comment>
    <comment ref="G37" authorId="0">
      <text>
        <r>
          <rPr>
            <b/>
            <sz val="8"/>
            <color indexed="81"/>
            <rFont val="Tahoma"/>
            <family val="2"/>
          </rPr>
          <t>Määritetään umpilehmien väkirehuruokinnan määrä. Rypsin osuus sama kuin lypsylehmillä</t>
        </r>
      </text>
    </comment>
    <comment ref="C38" authorId="0">
      <text>
        <r>
          <rPr>
            <b/>
            <sz val="9"/>
            <color indexed="81"/>
            <rFont val="Tahoma"/>
            <family val="2"/>
          </rPr>
          <t>Sairanen Auvo:</t>
        </r>
        <r>
          <rPr>
            <sz val="9"/>
            <color indexed="81"/>
            <rFont val="Tahoma"/>
            <family val="2"/>
          </rPr>
          <t xml:space="preserve">
Käytetään typen erituksen laskennassa, sontaan päätyvä N
Tämä täytyy tsekata, jos käytössä kokoviljaa</t>
        </r>
      </text>
    </comment>
    <comment ref="D39" authorId="0">
      <text>
        <r>
          <rPr>
            <b/>
            <sz val="8"/>
            <color indexed="81"/>
            <rFont val="Tahoma"/>
            <family val="2"/>
          </rPr>
          <t>Hiehojen ruokinta voi olla vakio ruokintastrattegiasta huolimatta</t>
        </r>
        <r>
          <rPr>
            <sz val="8"/>
            <color indexed="81"/>
            <rFont val="Tahoma"/>
            <family val="2"/>
          </rPr>
          <t xml:space="preserve">
</t>
        </r>
      </text>
    </comment>
  </commentList>
</comments>
</file>

<file path=xl/comments4.xml><?xml version="1.0" encoding="utf-8"?>
<comments xmlns="http://schemas.openxmlformats.org/spreadsheetml/2006/main">
  <authors>
    <author>Sairanen Auvo</author>
  </authors>
  <commentList>
    <comment ref="I1" authorId="0">
      <text>
        <r>
          <rPr>
            <b/>
            <sz val="9"/>
            <color indexed="81"/>
            <rFont val="Tahoma"/>
            <family val="2"/>
          </rPr>
          <t>Nettotarve</t>
        </r>
      </text>
    </comment>
    <comment ref="I3" authorId="0">
      <text>
        <r>
          <rPr>
            <b/>
            <sz val="9"/>
            <color indexed="81"/>
            <rFont val="Tahoma"/>
            <family val="2"/>
          </rPr>
          <t>Kuivatonnitarve rehupellosta riippumatta</t>
        </r>
      </text>
    </comment>
    <comment ref="D7" authorId="0">
      <text>
        <r>
          <rPr>
            <b/>
            <sz val="9"/>
            <color indexed="81"/>
            <rFont val="Tahoma"/>
            <family val="2"/>
          </rPr>
          <t>Sairanen Auvo:</t>
        </r>
        <r>
          <rPr>
            <sz val="9"/>
            <color indexed="81"/>
            <rFont val="Tahoma"/>
            <family val="2"/>
          </rPr>
          <t xml:space="preserve">
Kasviöljytuotannon sivutuote, ei viljellä rouhetuotantoa varten</t>
        </r>
      </text>
    </comment>
    <comment ref="Q7" authorId="0">
      <text>
        <r>
          <rPr>
            <b/>
            <sz val="9"/>
            <color indexed="81"/>
            <rFont val="Tahoma"/>
            <family val="2"/>
          </rPr>
          <t>Sairanen Auvo:</t>
        </r>
        <r>
          <rPr>
            <sz val="9"/>
            <color indexed="81"/>
            <rFont val="Tahoma"/>
            <family val="2"/>
          </rPr>
          <t xml:space="preserve">
Kasviöljytuotannon sivutuote, ei viljellä rouhetuotantoa varten</t>
        </r>
      </text>
    </comment>
    <comment ref="D12" authorId="0">
      <text>
        <r>
          <rPr>
            <b/>
            <sz val="8"/>
            <color indexed="81"/>
            <rFont val="Tahoma"/>
            <family val="2"/>
          </rPr>
          <t>Pellon kasvuluokka annetaan lähtötiedoissa, oletusarvona 1 eli hyväkuntoinen pelto</t>
        </r>
      </text>
    </comment>
    <comment ref="N26" authorId="0">
      <text>
        <r>
          <rPr>
            <b/>
            <sz val="9"/>
            <color indexed="81"/>
            <rFont val="Tahoma"/>
            <family val="2"/>
          </rPr>
          <t>Maksimi, ei välttämättä täyty</t>
        </r>
      </text>
    </comment>
    <comment ref="S26" authorId="0">
      <text>
        <r>
          <rPr>
            <b/>
            <sz val="9"/>
            <color indexed="81"/>
            <rFont val="Tahoma"/>
            <family val="2"/>
          </rPr>
          <t>Pienempi kuin maksimi K25</t>
        </r>
      </text>
    </comment>
    <comment ref="K27" authorId="0">
      <text>
        <r>
          <rPr>
            <b/>
            <sz val="9"/>
            <color indexed="81"/>
            <rFont val="Tahoma"/>
            <family val="2"/>
          </rPr>
          <t>Fosfori asettaa katon</t>
        </r>
      </text>
    </comment>
    <comment ref="J29" authorId="0">
      <text>
        <r>
          <rPr>
            <sz val="9"/>
            <color indexed="81"/>
            <rFont val="Tahoma"/>
            <family val="2"/>
          </rPr>
          <t xml:space="preserve">Nurmelle typpi suunnitellaan, viljapuoli taitaa olla vaihteleva erotuslaskenta
</t>
        </r>
      </text>
    </comment>
    <comment ref="C34" authorId="0">
      <text>
        <r>
          <rPr>
            <b/>
            <sz val="9"/>
            <color indexed="81"/>
            <rFont val="Tahoma"/>
            <family val="2"/>
          </rPr>
          <t>Myöhäinen niitto. Samalta alalta tulee myös lehmärehua. Alantarvetta ei muuten lasketa niitoittain</t>
        </r>
      </text>
    </comment>
    <comment ref="M34" authorId="0">
      <text>
        <r>
          <rPr>
            <b/>
            <sz val="9"/>
            <color indexed="81"/>
            <rFont val="Tahoma"/>
            <family val="2"/>
          </rPr>
          <t>Huomioidaan virtsan ja sonnan typpi miinus ammoniakin haihtuminen</t>
        </r>
      </text>
    </comment>
  </commentList>
</comments>
</file>

<file path=xl/comments5.xml><?xml version="1.0" encoding="utf-8"?>
<comments xmlns="http://schemas.openxmlformats.org/spreadsheetml/2006/main">
  <authors>
    <author>Sairanen Auvo</author>
    <author>Auvo</author>
  </authors>
  <commentList>
    <comment ref="P2" authorId="0">
      <text>
        <r>
          <rPr>
            <b/>
            <sz val="9"/>
            <color indexed="81"/>
            <rFont val="Tahoma"/>
            <family val="2"/>
          </rPr>
          <t>Hiehon yksilöruokintataulussa on yhden elohiehon kulutus. Luku pitää downskeilata uudistusprosentin suhteessa 
ja karkearehuja syö vain yli 60 pv eläimet tässä logiikassa</t>
        </r>
      </text>
    </comment>
    <comment ref="H5" authorId="0">
      <text>
        <r>
          <rPr>
            <b/>
            <sz val="9"/>
            <color indexed="81"/>
            <rFont val="Tahoma"/>
            <family val="2"/>
          </rPr>
          <t>Sonnivasut poistetaan kaksiviikkoisina
kaikki lehmivasikat pidetään varoilta</t>
        </r>
      </text>
    </comment>
    <comment ref="I5" authorId="0">
      <text>
        <r>
          <rPr>
            <b/>
            <sz val="9"/>
            <color indexed="81"/>
            <rFont val="Tahoma"/>
            <family val="2"/>
          </rPr>
          <t>Juomarehu. Maito laskettu Karja-sivulla erikseen</t>
        </r>
      </text>
    </comment>
    <comment ref="P5" authorId="0">
      <text>
        <r>
          <rPr>
            <b/>
            <sz val="9"/>
            <color indexed="81"/>
            <rFont val="Tahoma"/>
            <family val="2"/>
          </rPr>
          <t>Vasikat on laskettu erikseen</t>
        </r>
      </text>
    </comment>
    <comment ref="Q5" authorId="0">
      <text>
        <r>
          <rPr>
            <b/>
            <sz val="9"/>
            <color indexed="81"/>
            <rFont val="Tahoma"/>
            <family val="2"/>
          </rPr>
          <t>Tähä poolii menee kaikki juottovasikat
Typpeä juomarehusta plus juottomaito</t>
        </r>
      </text>
    </comment>
    <comment ref="P7" authorId="0">
      <text>
        <r>
          <rPr>
            <b/>
            <sz val="9"/>
            <color indexed="81"/>
            <rFont val="Tahoma"/>
            <family val="2"/>
          </rPr>
          <t>Huomioitu yhtä lehmää kohti löytyvä yli 60 päiväisten hiehojen lukumäärä</t>
        </r>
      </text>
    </comment>
    <comment ref="P14" authorId="0">
      <text>
        <r>
          <rPr>
            <b/>
            <sz val="9"/>
            <color indexed="81"/>
            <rFont val="Tahoma"/>
            <family val="2"/>
          </rPr>
          <t>edelleen. Jos uudistusprosentti pienenee, niin yhtä lehmää kohti on vähemmän navetassa seisoskelevia hiehoja syömässä ja kakkimassa</t>
        </r>
      </text>
    </comment>
    <comment ref="Q16" authorId="0">
      <text>
        <r>
          <rPr>
            <b/>
            <sz val="9"/>
            <color indexed="81"/>
            <rFont val="Tahoma"/>
            <family val="2"/>
          </rPr>
          <t>perustuu ruokinnan N-pitoisuuteen, syötyyn kuiva-ainemäärään ja yli 2 kk hiehojen osuuteen yhtä lehmää kohti</t>
        </r>
      </text>
    </comment>
    <comment ref="L17" authorId="1">
      <text>
        <r>
          <rPr>
            <b/>
            <sz val="9"/>
            <color indexed="81"/>
            <rFont val="Tahoma"/>
            <family val="2"/>
          </rPr>
          <t>Kaava otettu Narutestistä</t>
        </r>
      </text>
    </comment>
    <comment ref="P17" authorId="0">
      <text>
        <r>
          <rPr>
            <b/>
            <sz val="9"/>
            <color indexed="81"/>
            <rFont val="Tahoma"/>
            <family val="2"/>
          </rPr>
          <t>alle 60 pv eläinten virtsan määr yhtä lehmää kohti huomioitu allaolevassa erillislaskelmassa</t>
        </r>
      </text>
    </comment>
    <comment ref="O19" authorId="0">
      <text>
        <r>
          <rPr>
            <b/>
            <sz val="8"/>
            <color indexed="81"/>
            <rFont val="Tahoma"/>
            <family val="2"/>
          </rPr>
          <t xml:space="preserve">Sikiöön pidättyy 23 g/ umpipäivä. Kasvu on jyvitetty kokonaan umpikaudelle
</t>
        </r>
      </text>
    </comment>
    <comment ref="Q19" authorId="0">
      <text>
        <r>
          <rPr>
            <b/>
            <sz val="9"/>
            <color indexed="81"/>
            <rFont val="Tahoma"/>
            <family val="2"/>
          </rPr>
          <t>25 g / elopainokilo
elopainokilot lisääntyy 0.7 kg/pv
vuodessa 365 päivää</t>
        </r>
      </text>
    </comment>
    <comment ref="M20" authorId="1">
      <text>
        <r>
          <rPr>
            <b/>
            <sz val="9"/>
            <color indexed="81"/>
            <rFont val="Tahoma"/>
            <family val="2"/>
          </rPr>
          <t>Lehmiä teurastetaan uudistusprosentin verran ja elopaino löytyy lähtötiedoista</t>
        </r>
      </text>
    </comment>
    <comment ref="H21" authorId="0">
      <text>
        <r>
          <rPr>
            <b/>
            <sz val="9"/>
            <color indexed="81"/>
            <rFont val="Tahoma"/>
            <family val="2"/>
          </rPr>
          <t>onhan niillä hiehokkeillakin poisto-osuus
ja välitysvasikoissa karkaa typpeä vähän kans</t>
        </r>
      </text>
    </comment>
    <comment ref="M22" authorId="1">
      <text>
        <r>
          <rPr>
            <b/>
            <sz val="9"/>
            <color indexed="81"/>
            <rFont val="Tahoma"/>
            <family val="2"/>
          </rPr>
          <t xml:space="preserve">Vasikan painoksi oletetaan 70 kg kun lähtee välitykseen. Ruhon typpiprosentti on oletusarvoisesti 2,5 %
</t>
        </r>
      </text>
    </comment>
    <comment ref="S22" authorId="0">
      <text>
        <r>
          <rPr>
            <b/>
            <sz val="8"/>
            <color indexed="81"/>
            <rFont val="Tahoma"/>
            <family val="2"/>
          </rPr>
          <t>Välitykseen menee 0,5 sonnivasikkaa ja poistoprosentista riippuva osuus lehmä vasikoista
Ja lehmä nyt poikii 365/410 vasikkaa vuodessa, ei yhtä</t>
        </r>
      </text>
    </comment>
    <comment ref="I35" authorId="0">
      <text>
        <r>
          <rPr>
            <b/>
            <sz val="9"/>
            <color indexed="81"/>
            <rFont val="Tahoma"/>
            <family val="2"/>
          </rPr>
          <t>Sairanen Auvo:</t>
        </r>
        <r>
          <rPr>
            <sz val="9"/>
            <color indexed="81"/>
            <rFont val="Tahoma"/>
            <family val="2"/>
          </rPr>
          <t xml:space="preserve">
navetta ja lietevarastotappio 13 % kokonaistypestä</t>
        </r>
      </text>
    </comment>
    <comment ref="H85" authorId="0">
      <text>
        <r>
          <rPr>
            <b/>
            <sz val="9"/>
            <color indexed="81"/>
            <rFont val="Tahoma"/>
            <family val="2"/>
          </rPr>
          <t>Sanotaan että vasikoita on poikimisten määrä miinus juottovaiheessa poistetut ei elovasikat kertaa 60/365</t>
        </r>
      </text>
    </comment>
    <comment ref="I86" authorId="0">
      <text>
        <r>
          <rPr>
            <b/>
            <sz val="9"/>
            <color indexed="81"/>
            <rFont val="Tahoma"/>
            <family val="2"/>
          </rPr>
          <t>Kopioitu vakio Narutestistä</t>
        </r>
      </text>
    </comment>
    <comment ref="H92" authorId="0">
      <text>
        <r>
          <rPr>
            <b/>
            <sz val="9"/>
            <color indexed="81"/>
            <rFont val="Tahoma"/>
            <family val="2"/>
          </rPr>
          <t>Sanotaan että vasikoita on poikimisten määrä miinus juottovaiheessa poistetut ei elovasikat kertaa 60/365</t>
        </r>
      </text>
    </comment>
    <comment ref="I107" authorId="0">
      <text>
        <r>
          <rPr>
            <b/>
            <sz val="9"/>
            <color indexed="81"/>
            <rFont val="Tahoma"/>
            <family val="2"/>
          </rPr>
          <t>Narutestissä pikkuvasujen ka sulavuus 0.921
Eläinmäärä sisältää sonnivasuja ja vähän extra lehmävasuja</t>
        </r>
      </text>
    </comment>
    <comment ref="I111" authorId="0">
      <text>
        <r>
          <rPr>
            <b/>
            <sz val="9"/>
            <color indexed="81"/>
            <rFont val="Tahoma"/>
            <family val="2"/>
          </rPr>
          <t>Lukumäärä tuossa vieressä</t>
        </r>
      </text>
    </comment>
  </commentList>
</comments>
</file>

<file path=xl/comments6.xml><?xml version="1.0" encoding="utf-8"?>
<comments xmlns="http://schemas.openxmlformats.org/spreadsheetml/2006/main">
  <authors>
    <author>Sairanen Auvo</author>
  </authors>
  <commentList>
    <comment ref="P2" authorId="0">
      <text>
        <r>
          <rPr>
            <b/>
            <sz val="9"/>
            <color indexed="81"/>
            <rFont val="Tahoma"/>
            <family val="2"/>
          </rPr>
          <t>Tappio pienenee riippuen käytetystä tekniikasta</t>
        </r>
      </text>
    </comment>
    <comment ref="R2" authorId="0">
      <text>
        <r>
          <rPr>
            <b/>
            <sz val="9"/>
            <color indexed="81"/>
            <rFont val="Tahoma"/>
            <family val="2"/>
          </rPr>
          <t>Suomen haihduntalukuja pienennetään viileästä ilmastosta johtuen 20 %</t>
        </r>
      </text>
    </comment>
    <comment ref="L3" authorId="0">
      <text>
        <r>
          <rPr>
            <b/>
            <sz val="9"/>
            <color indexed="81"/>
            <rFont val="Tahoma"/>
            <family val="2"/>
          </rPr>
          <t>Pohjaluku laskettu 0.7 hiehokkeella</t>
        </r>
      </text>
    </comment>
    <comment ref="O3" authorId="0">
      <text>
        <r>
          <rPr>
            <b/>
            <sz val="9"/>
            <color indexed="81"/>
            <rFont val="Tahoma"/>
            <family val="2"/>
          </rPr>
          <t>Pellolle joutuvasta TAN määrästä haihtuu maksimissaan 55 %</t>
        </r>
      </text>
    </comment>
    <comment ref="C15" authorId="0">
      <text>
        <r>
          <rPr>
            <b/>
            <sz val="9"/>
            <color indexed="81"/>
            <rFont val="Tahoma"/>
            <family val="2"/>
          </rPr>
          <t>Total ammonium nitrogen</t>
        </r>
      </text>
    </comment>
    <comment ref="E15" authorId="0">
      <text>
        <r>
          <rPr>
            <b/>
            <sz val="9"/>
            <color indexed="81"/>
            <rFont val="Tahoma"/>
            <family val="2"/>
          </rPr>
          <t>10 % sonnan N mineralisoituu TAN:ksi</t>
        </r>
      </text>
    </comment>
  </commentList>
</comments>
</file>

<file path=xl/comments7.xml><?xml version="1.0" encoding="utf-8"?>
<comments xmlns="http://schemas.openxmlformats.org/spreadsheetml/2006/main">
  <authors>
    <author>Sairanen Auvo</author>
  </authors>
  <commentList>
    <comment ref="M20" authorId="0">
      <text>
        <r>
          <rPr>
            <b/>
            <sz val="9"/>
            <color indexed="81"/>
            <rFont val="Tahoma"/>
            <family val="2"/>
          </rPr>
          <t>Ei huomioi hiehojen kuolleisuutta</t>
        </r>
      </text>
    </comment>
    <comment ref="M22" authorId="0">
      <text>
        <r>
          <rPr>
            <b/>
            <sz val="9"/>
            <color indexed="81"/>
            <rFont val="Tahoma"/>
            <family val="2"/>
          </rPr>
          <t>Yhden välitysvasikan painoksi oletetaan 70 kg</t>
        </r>
      </text>
    </comment>
    <comment ref="M23" authorId="0">
      <text>
        <r>
          <rPr>
            <b/>
            <sz val="9"/>
            <color indexed="81"/>
            <rFont val="Tahoma"/>
            <family val="2"/>
          </rPr>
          <t>Myyntimaidon osuus funktioissa 0.95</t>
        </r>
      </text>
    </comment>
  </commentList>
</comments>
</file>

<file path=xl/comments8.xml><?xml version="1.0" encoding="utf-8"?>
<comments xmlns="http://schemas.openxmlformats.org/spreadsheetml/2006/main">
  <authors>
    <author>Sairanen Auvo</author>
  </authors>
  <commentList>
    <comment ref="D2" authorId="0">
      <text>
        <r>
          <rPr>
            <b/>
            <sz val="9"/>
            <color indexed="81"/>
            <rFont val="Tahoma"/>
            <family val="2"/>
          </rPr>
          <t>Sairanen Auvo:</t>
        </r>
        <r>
          <rPr>
            <sz val="9"/>
            <color indexed="81"/>
            <rFont val="Tahoma"/>
            <family val="2"/>
          </rPr>
          <t xml:space="preserve">
34 MJ on umpikaudella vähän yläkanttiin, mutta korvaa viimeisen tuotoskuukauden puuttuva 11 MJ, tulee about oikein</t>
        </r>
      </text>
    </comment>
    <comment ref="C28" authorId="0">
      <text>
        <r>
          <rPr>
            <b/>
            <sz val="9"/>
            <color indexed="81"/>
            <rFont val="Tahoma"/>
            <family val="2"/>
          </rPr>
          <t xml:space="preserve">Lähdetään oletetusta nurmisadosta 120 kg N lannoituksella
</t>
        </r>
      </text>
    </comment>
  </commentList>
</comments>
</file>

<file path=xl/sharedStrings.xml><?xml version="1.0" encoding="utf-8"?>
<sst xmlns="http://schemas.openxmlformats.org/spreadsheetml/2006/main" count="2402" uniqueCount="1066">
  <si>
    <t>kg</t>
  </si>
  <si>
    <t>kgDM</t>
  </si>
  <si>
    <t>days</t>
  </si>
  <si>
    <t>tn</t>
  </si>
  <si>
    <t>total</t>
  </si>
  <si>
    <t>ha</t>
  </si>
  <si>
    <t>N kg</t>
  </si>
  <si>
    <t>kg N</t>
  </si>
  <si>
    <t>kg N/ha</t>
  </si>
  <si>
    <t>input</t>
  </si>
  <si>
    <t>output</t>
  </si>
  <si>
    <t>max</t>
  </si>
  <si>
    <t>In practise slurry 40 m3 /ha</t>
  </si>
  <si>
    <t>P 0.5 kg /m3, = 20 kg P / 40 m3. Application 14-40 kg P</t>
  </si>
  <si>
    <t>40 m3 = 116 kg N</t>
  </si>
  <si>
    <t>Slurry for grass, max 56 m3 = about 170 kg total N</t>
  </si>
  <si>
    <t>CP silage</t>
  </si>
  <si>
    <t>utilization</t>
  </si>
  <si>
    <t>%</t>
  </si>
  <si>
    <t>€/kg</t>
  </si>
  <si>
    <t>€/ha</t>
  </si>
  <si>
    <t>€/kg DM</t>
  </si>
  <si>
    <t>Luokka</t>
  </si>
  <si>
    <t>Muuttuja</t>
  </si>
  <si>
    <t>Arvo</t>
  </si>
  <si>
    <t>Karjatieto</t>
  </si>
  <si>
    <t>Lehmien lkm</t>
  </si>
  <si>
    <t>uudistus %</t>
  </si>
  <si>
    <t>Hiehojen kasvatusaika</t>
  </si>
  <si>
    <t>Umpikauden pituus</t>
  </si>
  <si>
    <t>kpl</t>
  </si>
  <si>
    <t>osuus</t>
  </si>
  <si>
    <t>vuotta</t>
  </si>
  <si>
    <t>pv</t>
  </si>
  <si>
    <t>Vilja</t>
  </si>
  <si>
    <t>Rypsirouhe</t>
  </si>
  <si>
    <t>Säilörehu</t>
  </si>
  <si>
    <t>Kivennäinen</t>
  </si>
  <si>
    <t>ekm</t>
  </si>
  <si>
    <t>Strategia</t>
  </si>
  <si>
    <t>Lehmiä</t>
  </si>
  <si>
    <t>Uudistus</t>
  </si>
  <si>
    <t>kpl/v</t>
  </si>
  <si>
    <t>Hiehojen poik ikä</t>
  </si>
  <si>
    <t>v</t>
  </si>
  <si>
    <t xml:space="preserve">Hiehoja </t>
  </si>
  <si>
    <t>Ruokinta ja tuotostaulukko</t>
  </si>
  <si>
    <t>Vuosituotos</t>
  </si>
  <si>
    <t>kg ekm</t>
  </si>
  <si>
    <t>Elopaino</t>
  </si>
  <si>
    <t>MJME/kgka</t>
  </si>
  <si>
    <t>ruokintanormi</t>
  </si>
  <si>
    <t>kuvaus</t>
  </si>
  <si>
    <t>Umpilehmien energiantarve</t>
  </si>
  <si>
    <t>arvo</t>
  </si>
  <si>
    <t>kaava</t>
  </si>
  <si>
    <t>funktio</t>
  </si>
  <si>
    <t>Rehua, kgka/ekm</t>
  </si>
  <si>
    <t>Rehuhyötysuhde</t>
  </si>
  <si>
    <t>kg ekm/kgka</t>
  </si>
  <si>
    <t>Rehua umpilehmille</t>
  </si>
  <si>
    <t>kg ka/pv</t>
  </si>
  <si>
    <t>Hiehojen energiantarve</t>
  </si>
  <si>
    <t>MJME/pv</t>
  </si>
  <si>
    <t>Kokovilja</t>
  </si>
  <si>
    <t>RV g/kgka</t>
  </si>
  <si>
    <t>.</t>
  </si>
  <si>
    <t>Kuiva-aine</t>
  </si>
  <si>
    <t>Lypsylehmät</t>
  </si>
  <si>
    <t>Umpilehmät</t>
  </si>
  <si>
    <t>umpilehmät</t>
  </si>
  <si>
    <t>yht</t>
  </si>
  <si>
    <t>päivää</t>
  </si>
  <si>
    <t>syönti</t>
  </si>
  <si>
    <t>kg ka/v/le</t>
  </si>
  <si>
    <t>Vr syönti</t>
  </si>
  <si>
    <t>kgka /v/le</t>
  </si>
  <si>
    <t>kgka</t>
  </si>
  <si>
    <t>Rypsir.</t>
  </si>
  <si>
    <t>Lehmät</t>
  </si>
  <si>
    <t>Hiehot</t>
  </si>
  <si>
    <t>Sr ka %</t>
  </si>
  <si>
    <t>SR tuorekulutus</t>
  </si>
  <si>
    <t>tn /vuosi</t>
  </si>
  <si>
    <t>eritys</t>
  </si>
  <si>
    <t>vakio</t>
  </si>
  <si>
    <t>Kg ka</t>
  </si>
  <si>
    <t>Sonnan kuiva-aine</t>
  </si>
  <si>
    <t>sonta /v/le</t>
  </si>
  <si>
    <t>tn /v</t>
  </si>
  <si>
    <t>Tuorepaino</t>
  </si>
  <si>
    <t>Varastotarve ilman hävikkiä</t>
  </si>
  <si>
    <t>kuiva-aineena</t>
  </si>
  <si>
    <t>tn ka</t>
  </si>
  <si>
    <t>Väkirehua</t>
  </si>
  <si>
    <t>Satotieto</t>
  </si>
  <si>
    <t>Kg N/ha</t>
  </si>
  <si>
    <t>Satotasot kg ka /ha</t>
  </si>
  <si>
    <t>tappio korjuun jälkeen</t>
  </si>
  <si>
    <t>Peltosato, tn ka/ha</t>
  </si>
  <si>
    <t>tn kg /ha</t>
  </si>
  <si>
    <t>sato</t>
  </si>
  <si>
    <t>Ei ole vakio ja korvataan typpifunktiolla. On pellolta varastoon lähtevä nettosato</t>
  </si>
  <si>
    <t>tn/ha vakio</t>
  </si>
  <si>
    <t>Satofunktio, Nurmi</t>
  </si>
  <si>
    <t>Satofunktio, kokovilja</t>
  </si>
  <si>
    <t>kokovilja</t>
  </si>
  <si>
    <t>Karkearehu</t>
  </si>
  <si>
    <t>KV ka %</t>
  </si>
  <si>
    <t>KV tuorekulutus</t>
  </si>
  <si>
    <t>Kokoviljaa</t>
  </si>
  <si>
    <t>muu pelto</t>
  </si>
  <si>
    <t>yhteensä</t>
  </si>
  <si>
    <t>ha /lehmä, sis uudistus</t>
  </si>
  <si>
    <t>RV, g/kgDM</t>
  </si>
  <si>
    <t>N g/kgDM</t>
  </si>
  <si>
    <t>lehmä</t>
  </si>
  <si>
    <t>kg ka</t>
  </si>
  <si>
    <t>saanti</t>
  </si>
  <si>
    <t>hieho</t>
  </si>
  <si>
    <t>umppari</t>
  </si>
  <si>
    <t>eritys ka</t>
  </si>
  <si>
    <t>Virtsan kuiva-aine</t>
  </si>
  <si>
    <t>Välitysvasikoiden mukana</t>
  </si>
  <si>
    <t>Ruhon N %</t>
  </si>
  <si>
    <t>vakio, %</t>
  </si>
  <si>
    <t>N saanti kg/lehmä/vuosi</t>
  </si>
  <si>
    <t>N poistuma kg/lehmä/vuosi</t>
  </si>
  <si>
    <t>eritys kg N</t>
  </si>
  <si>
    <t>Dieetin sulamaton raakavalkuainen</t>
  </si>
  <si>
    <t>Solid kokeen esimerkkiluku…</t>
  </si>
  <si>
    <t>kpl vasikoita lehmää kohti lähtee pois tilalta</t>
  </si>
  <si>
    <t>Virtsan kuiva-aineen N pitoisuus</t>
  </si>
  <si>
    <t>N eritys /lehmä/vuosi, sisältää uudistuksen</t>
  </si>
  <si>
    <t>Lehmien määrä</t>
  </si>
  <si>
    <t>N eritys lehmää kohti/v</t>
  </si>
  <si>
    <t>N kokonaiseritys /v</t>
  </si>
  <si>
    <t>Porttitase, kg N</t>
  </si>
  <si>
    <t>Typpilannoitus</t>
  </si>
  <si>
    <t>rouheen määrä/karja</t>
  </si>
  <si>
    <t>osuus %</t>
  </si>
  <si>
    <t>Rouheen RV /kgka</t>
  </si>
  <si>
    <t>N vasikoiden mukana</t>
  </si>
  <si>
    <t>N maidon mukana</t>
  </si>
  <si>
    <t>N teuraiden mukana</t>
  </si>
  <si>
    <t>Tase</t>
  </si>
  <si>
    <t>kg N, tilatasolla /v</t>
  </si>
  <si>
    <t>kg kok N/ha</t>
  </si>
  <si>
    <t>Ostotyppi</t>
  </si>
  <si>
    <t>Lann taso</t>
  </si>
  <si>
    <t>Liete</t>
  </si>
  <si>
    <t>N lannoitustaso kokoviljalle</t>
  </si>
  <si>
    <t>N lannoitustaso viljalle</t>
  </si>
  <si>
    <t xml:space="preserve">  Lietteen N nurmelle</t>
  </si>
  <si>
    <t>Hiehoja</t>
  </si>
  <si>
    <t xml:space="preserve">    Nurmea</t>
  </si>
  <si>
    <t xml:space="preserve">    Kokoviljaa</t>
  </si>
  <si>
    <t>Ostotyppeä</t>
  </si>
  <si>
    <t>Ostorouhe</t>
  </si>
  <si>
    <t>kg N / v</t>
  </si>
  <si>
    <t>N poistuma tilalta</t>
  </si>
  <si>
    <t>N tuonti tilalle</t>
  </si>
  <si>
    <t>Maidossa</t>
  </si>
  <si>
    <t>Eläinten mukana</t>
  </si>
  <si>
    <t>Maatilan typpitase</t>
  </si>
  <si>
    <t>kg N/v</t>
  </si>
  <si>
    <t>kg N/ ha tilatasolla /v</t>
  </si>
  <si>
    <t>Ammoniakki</t>
  </si>
  <si>
    <t>Väkir %</t>
  </si>
  <si>
    <t>Lietekuution typpimäärä kg N</t>
  </si>
  <si>
    <t>lietteen N pitoisuus</t>
  </si>
  <si>
    <t>kg kokN/m3</t>
  </si>
  <si>
    <t>Ylijäämä liete</t>
  </si>
  <si>
    <t>Lietteen kok määrä</t>
  </si>
  <si>
    <t xml:space="preserve">m3  </t>
  </si>
  <si>
    <t>m3 tilan kokonaislietemäärä, sisältää pesuvedet</t>
  </si>
  <si>
    <t>0-1</t>
  </si>
  <si>
    <t>kg N/m3</t>
  </si>
  <si>
    <t>Lietteen liuk N</t>
  </si>
  <si>
    <t>Lietteen kok N, kg/m3</t>
  </si>
  <si>
    <t>Lietteen liuk N, kg/m3</t>
  </si>
  <si>
    <t>liuk N/ha</t>
  </si>
  <si>
    <t xml:space="preserve">  Lietteen liuk N nurmelle</t>
  </si>
  <si>
    <t xml:space="preserve">  Lietteen liuk N viljalle</t>
  </si>
  <si>
    <t xml:space="preserve">  Lietteen liuk N kokoviljalle</t>
  </si>
  <si>
    <t>Ympäristökorvausmaksimi 110 kg N/ha, runsasmultainen maa</t>
  </si>
  <si>
    <t>kok N kg/ha</t>
  </si>
  <si>
    <t>Runsasmultaisen maan lannoitusmaksimi 90, 4000 kg/ha satotavoite, ympäristökorvaus</t>
  </si>
  <si>
    <t>Viljavuuspalvelun keskiarvo (2017)</t>
  </si>
  <si>
    <t>Jounin luku</t>
  </si>
  <si>
    <t>Nurmilohkojen kasvuluokka</t>
  </si>
  <si>
    <t>Maksimi kokoviljasato</t>
  </si>
  <si>
    <t>Lietteen kok N</t>
  </si>
  <si>
    <t>Vr % hiehojen dieetissä</t>
  </si>
  <si>
    <t>=-17,7+6,3 * Kasyönti + 0,108*Nsaanti</t>
  </si>
  <si>
    <t>syönti kg/pv, Nsaanti g/pv</t>
  </si>
  <si>
    <t>=16,9-12,3 * Kasyönti + 0,833 * Nsaanti</t>
  </si>
  <si>
    <t>syönti kgka/pv</t>
  </si>
  <si>
    <t>RV pit dieetissä, g/kgka</t>
  </si>
  <si>
    <t>N saanti g/pv</t>
  </si>
  <si>
    <t>Maidon valkuainen</t>
  </si>
  <si>
    <t>Maidon rasva</t>
  </si>
  <si>
    <t>Maidon laktoosi</t>
  </si>
  <si>
    <t>g/kgka</t>
  </si>
  <si>
    <t>Sonnan N, lypsävät, g/pv</t>
  </si>
  <si>
    <t>Virtsan N, lypsävät, g/pv</t>
  </si>
  <si>
    <t>lehmät</t>
  </si>
  <si>
    <t>Oletuksena 160 g RV/kilo elopainon lisäys</t>
  </si>
  <si>
    <t>hiehot</t>
  </si>
  <si>
    <t>=5,94 + 0,091 * Ndiet hiehot</t>
  </si>
  <si>
    <t>Sonnan N, hiehot, g/kg syöntiä /pv</t>
  </si>
  <si>
    <t>Pidättyminen kasvuun</t>
  </si>
  <si>
    <t>eritys N</t>
  </si>
  <si>
    <t>Haetaan Lypsikki -mallin tuotosvastelaskennasta</t>
  </si>
  <si>
    <t>Nurmen säilöntätappio</t>
  </si>
  <si>
    <t>Sonnan N, hiehot, g/pv</t>
  </si>
  <si>
    <t>Virtsan N, hiehot, g/pv</t>
  </si>
  <si>
    <t>Sonnan N osuus, hiehot</t>
  </si>
  <si>
    <t>Virtsan N osuus, hiehot</t>
  </si>
  <si>
    <t>hiehojen kasvunopeus</t>
  </si>
  <si>
    <t>g/pv</t>
  </si>
  <si>
    <t>N pidättyminen hiehojen kasvuun, g/pv</t>
  </si>
  <si>
    <t>ekm kerroin</t>
  </si>
  <si>
    <t xml:space="preserve"> (38,3 × rasvapit.+ 24,2 × valk.pit.+ 16,54 × lakt. pit. + 20,7)/ 3140</t>
  </si>
  <si>
    <t>kg maitoa</t>
  </si>
  <si>
    <t>Voi korvata lähtötiedoissa analyysiarvolla jos käytettävissä</t>
  </si>
  <si>
    <t>Hyväksyttävä N ylijäämä enintään 60 kg N/ha/v, ammoniakin haihdunta puuttuu vielä taseesta</t>
  </si>
  <si>
    <t>kg ekm/v</t>
  </si>
  <si>
    <t>maidon perushinta</t>
  </si>
  <si>
    <t>Peltotuki</t>
  </si>
  <si>
    <t>Maidon tuotantotuki</t>
  </si>
  <si>
    <t>Maito</t>
  </si>
  <si>
    <t>Tulot</t>
  </si>
  <si>
    <t>maito</t>
  </si>
  <si>
    <t>maitotuki</t>
  </si>
  <si>
    <t>peltotuki</t>
  </si>
  <si>
    <t>€/v</t>
  </si>
  <si>
    <t>Kulut</t>
  </si>
  <si>
    <t>säilörehu</t>
  </si>
  <si>
    <t>ohra</t>
  </si>
  <si>
    <t xml:space="preserve">säilörehu, tukematon </t>
  </si>
  <si>
    <t>ka</t>
  </si>
  <si>
    <t>hinta</t>
  </si>
  <si>
    <t>pyöröpaali</t>
  </si>
  <si>
    <t>€/paali</t>
  </si>
  <si>
    <t>tuki</t>
  </si>
  <si>
    <t>markkinahinta</t>
  </si>
  <si>
    <t>rypsirouhe</t>
  </si>
  <si>
    <t>kivennäinen</t>
  </si>
  <si>
    <t>rehukustannus / kg ekm</t>
  </si>
  <si>
    <t>Tulos</t>
  </si>
  <si>
    <t>maitotuotto - rehukustannus</t>
  </si>
  <si>
    <t>rehukate yhtä lehmää kohti</t>
  </si>
  <si>
    <t>rehukate yhtä maitolitraa kohti. Summasta maksetaan kaikki muuttuvat kustannukset, pääomakulut ja viljelijän palkka</t>
  </si>
  <si>
    <t>€/ lehmä</t>
  </si>
  <si>
    <t>€/kg maitoa</t>
  </si>
  <si>
    <t>Laskelma on vasta hahmotelma. Mutta tavoitteena laskea rehukate eri strategioilla. Laskenta antaa vertailukelpoisen tuloksen, mikäli eri strategiat voidaan toteuttaa samalla työmäärällä ja samalla koneistuksella</t>
  </si>
  <si>
    <t>Kasvatettavien hiehojen tarve. Ulkoistetussa hiehonkasvatuksessa tarvittava peltoala ei ole tilan omaa, mutta systeemitasolla tarvitaan</t>
  </si>
  <si>
    <t>osuudet tarvitaan jos huomioidaan hiehojen kasvuun pidättyvä typpi. Steady statessa kasvuun pidättynyttä ei huomioida</t>
  </si>
  <si>
    <t>nurmi</t>
  </si>
  <si>
    <t>vilja</t>
  </si>
  <si>
    <t>sisältää kaavan, ei saa muuttaa</t>
  </si>
  <si>
    <t>Tukiehdot mahdollistavat 90 kg liuk N määrän, mutta yleisesti viljalle käytetään sadonmuodostuksen vuoksi myös mineraalityppeä. Lietteen typpeä 40-50 kg liuk N tavanomainen</t>
  </si>
  <si>
    <t>Vain välitarkastelua varten, ei sisällä muutettavia soluja</t>
  </si>
  <si>
    <t>Rehukate</t>
  </si>
  <si>
    <t>€ / lehmä</t>
  </si>
  <si>
    <t xml:space="preserve">Maitotuotto - rehukustannus. Jää käytettäväksi pääoma-, työ- ja erilliskustannuksiin </t>
  </si>
  <si>
    <t>LyVa maatilan typpikierto tilamalli</t>
  </si>
  <si>
    <t>Tunnutuskauden väkirehumäärä</t>
  </si>
  <si>
    <t>kg /pv</t>
  </si>
  <si>
    <t>kg / pv</t>
  </si>
  <si>
    <t>väkirehu, kgka</t>
  </si>
  <si>
    <t>karkearehu, kgka</t>
  </si>
  <si>
    <t>Ylijäämä liete, % kokomäärästä</t>
  </si>
  <si>
    <t xml:space="preserve">    Eläintiheys</t>
  </si>
  <si>
    <t>ha/lehmä, sisältäen uudistuksen</t>
  </si>
  <si>
    <t>Nautayksiköitä</t>
  </si>
  <si>
    <t>kk</t>
  </si>
  <si>
    <t>ny</t>
  </si>
  <si>
    <t>ny / ha</t>
  </si>
  <si>
    <t>uudistuksen keskimääräinen ny luku</t>
  </si>
  <si>
    <t>hiehon kasvatusaika vuosina</t>
  </si>
  <si>
    <t>Nurmisato</t>
  </si>
  <si>
    <t>Viljasato</t>
  </si>
  <si>
    <t>tn ka / ha</t>
  </si>
  <si>
    <t>tn / ha (14 % kosteus)</t>
  </si>
  <si>
    <t>vasikka</t>
  </si>
  <si>
    <t>tn ka/v</t>
  </si>
  <si>
    <t>ha /lehmä ilman uudistusta</t>
  </si>
  <si>
    <t>le / ha ilman uudistusta</t>
  </si>
  <si>
    <t>neliö km</t>
  </si>
  <si>
    <t>Suomen ala</t>
  </si>
  <si>
    <t>N / ha</t>
  </si>
  <si>
    <t>N eritys / le</t>
  </si>
  <si>
    <t>lehmien määrä</t>
  </si>
  <si>
    <t>kg /v</t>
  </si>
  <si>
    <t>kg N/ha suomea kohti laskettuna</t>
  </si>
  <si>
    <t>Typpeä</t>
  </si>
  <si>
    <t>huomiot</t>
  </si>
  <si>
    <t>OIV g/kgka</t>
  </si>
  <si>
    <t>ok</t>
  </si>
  <si>
    <t>Rehu</t>
  </si>
  <si>
    <t>määrä</t>
  </si>
  <si>
    <t>Nurmi 240, ei lisävalkuaista</t>
  </si>
  <si>
    <t>Nurmi 240, normivalkuainen</t>
  </si>
  <si>
    <t>Nurmi 120, ei lisävalkuaista</t>
  </si>
  <si>
    <t>Nurmi 120, normivalkuainen</t>
  </si>
  <si>
    <t>Nitrattidirektiivin mukainen maksimimäärä 170, madalletulla lannoituksella 115</t>
  </si>
  <si>
    <t>kg liuk N/ha</t>
  </si>
  <si>
    <t>tunnutus</t>
  </si>
  <si>
    <t>umpikausi</t>
  </si>
  <si>
    <t>umpikauden keskim vr %</t>
  </si>
  <si>
    <t>Peltotieto</t>
  </si>
  <si>
    <t>m3</t>
  </si>
  <si>
    <t>Oletusarvo 1,7 g N/m3</t>
  </si>
  <si>
    <t>Vain välitarkastelua varten, sivu ei sisällä muutettavia soluja</t>
  </si>
  <si>
    <t>Vain vihreälle alueelle saa kopioida Lähtötiedot arkin tuotantostrategian, muita soluja ei saa muuttaa</t>
  </si>
  <si>
    <t>huom</t>
  </si>
  <si>
    <t>Osto N / ha</t>
  </si>
  <si>
    <t>sato = -0.0577*(lannoitus*lannoitus) + 48.2*lannoitus + 3927</t>
  </si>
  <si>
    <t>Valittu satotaso</t>
  </si>
  <si>
    <t>Nurmi+apila, ei lisävalk</t>
  </si>
  <si>
    <t>Säilörehu, nurmi</t>
  </si>
  <si>
    <t>Säilörehu apila</t>
  </si>
  <si>
    <t>Satofunktio, Apila</t>
  </si>
  <si>
    <t>Säilörehusato</t>
  </si>
  <si>
    <t>Jatka apilaprobleemaa. Kun apilaa käytetään niin max lannoitus on 70+50 kg N/ha = 120 kg</t>
  </si>
  <si>
    <t>Ongelma tulee kun lannoitusta vain se 70 kg</t>
  </si>
  <si>
    <t>N lannoitustaso nurmi/apila</t>
  </si>
  <si>
    <t>saavutettu</t>
  </si>
  <si>
    <t>Suunniteltu</t>
  </si>
  <si>
    <t>liukoisen osuus</t>
  </si>
  <si>
    <t>tarvitaan</t>
  </si>
  <si>
    <t>tarjolla</t>
  </si>
  <si>
    <t>kg N /tila</t>
  </si>
  <si>
    <t>Kokoviljalle</t>
  </si>
  <si>
    <t>Viljalle</t>
  </si>
  <si>
    <t>nurmelle</t>
  </si>
  <si>
    <t>Jää jäljelle lietteen N kg/tila</t>
  </si>
  <si>
    <t>kok N</t>
  </si>
  <si>
    <t>liuk N</t>
  </si>
  <si>
    <t>Lietteen käyttö</t>
  </si>
  <si>
    <t>kg N/tila</t>
  </si>
  <si>
    <t>varastoon</t>
  </si>
  <si>
    <t>m3 lietettä levitettäväksi tilan ulkopuolelle</t>
  </si>
  <si>
    <t>Ostotyppeä nurmelle</t>
  </si>
  <si>
    <t xml:space="preserve">  Lietteen kok N viljalle</t>
  </si>
  <si>
    <t xml:space="preserve">  Lietteen kok N kokoviljalle</t>
  </si>
  <si>
    <t>sato=13.762x + 6253.1</t>
  </si>
  <si>
    <t>apila</t>
  </si>
  <si>
    <t>Apilan osuus rehussa</t>
  </si>
  <si>
    <t>Apilan N sidonta</t>
  </si>
  <si>
    <t>tn ka/ha</t>
  </si>
  <si>
    <t>N sidonta</t>
  </si>
  <si>
    <t>rehuala</t>
  </si>
  <si>
    <t>kg N tot</t>
  </si>
  <si>
    <t>Määrästä puolet jää peltoon</t>
  </si>
  <si>
    <t>Nurmi+apila, normivalkuainen</t>
  </si>
  <si>
    <t>Nurmi+apila, korkea valkuainen</t>
  </si>
  <si>
    <t>Nurmi 120, korkea valkuainen</t>
  </si>
  <si>
    <t>Nurmi 240, korkea valkuainen</t>
  </si>
  <si>
    <t>Nurmi+kokovilja, ei lisävalk</t>
  </si>
  <si>
    <t>Nurmi+kokovilja, normivalkuainen</t>
  </si>
  <si>
    <t>Nurmi+kokovilja, korkea valkuainen</t>
  </si>
  <si>
    <t>Maidon fosforipitoisuus</t>
  </si>
  <si>
    <t>g/kg maitoa</t>
  </si>
  <si>
    <t xml:space="preserve">  Rehutaulukot, Pitää yhtä julkaisujen kanssa</t>
  </si>
  <si>
    <t>P g/kgka</t>
  </si>
  <si>
    <t>strat ID</t>
  </si>
  <si>
    <t>Dieetissä</t>
  </si>
  <si>
    <t>Kivennäiset</t>
  </si>
  <si>
    <t>tase</t>
  </si>
  <si>
    <t>Oletusarvo 2.8 ja jos dieetin RV nousee niin myös lietteen RV pitäisi nousta. Pitoisuus voidaan laskea kunhanensin tehdään oletus pesu- ja juomaveden määrästä per päivä per lehmä.</t>
  </si>
  <si>
    <t>Saavutettu nurmi/apilasatosato</t>
  </si>
  <si>
    <t>Pellolta varastoon lähtevä määrä typen funktiona. Sannan kaava</t>
  </si>
  <si>
    <t>Nolla on joutomaa ja 1 hyväkuntoinen pelto. Ykkönen huomioi jo koeruutuvähennyksen. Kerroin voi olla yli 1, jolloin pakotetaan satotaso yli funktion</t>
  </si>
  <si>
    <t>varasto</t>
  </si>
  <si>
    <t>Lietteen kok P kg/m3</t>
  </si>
  <si>
    <t>Fosforitase</t>
  </si>
  <si>
    <t>ala/karja</t>
  </si>
  <si>
    <t>kg P/tn</t>
  </si>
  <si>
    <t>kivenn</t>
  </si>
  <si>
    <t>rypsi</t>
  </si>
  <si>
    <t>Tuotto</t>
  </si>
  <si>
    <t>kg P/v</t>
  </si>
  <si>
    <t>kg P/v/karja</t>
  </si>
  <si>
    <t xml:space="preserve">määrä  </t>
  </si>
  <si>
    <t>oletetaan, että palautetaan peltoon kompostina</t>
  </si>
  <si>
    <t>poistuma</t>
  </si>
  <si>
    <t>jää peltoon</t>
  </si>
  <si>
    <t>lietemäärä lehmät, m3/v</t>
  </si>
  <si>
    <t>varastotilavuus Tapio Salo, 9500 tuotostaso, ilman sadevesiä</t>
  </si>
  <si>
    <t>lietemäärä nuorkarja</t>
  </si>
  <si>
    <t>nuorkarja</t>
  </si>
  <si>
    <t>varastotilavuus Tapio Salo, 9500 tuotostaso, ilman sadevesiä. Tulee about puolet liian pieni kuutiomäärä lietteen typpipitoisuuden kautta laskuun verrattuna</t>
  </si>
  <si>
    <t>P pitoisuuden kautta</t>
  </si>
  <si>
    <t>kg n/ha</t>
  </si>
  <si>
    <t>Ostotyppi, nurmi</t>
  </si>
  <si>
    <t>Ostotyppi, vilja</t>
  </si>
  <si>
    <t>Lypsypäivää /v</t>
  </si>
  <si>
    <t>Umpipäivää/v</t>
  </si>
  <si>
    <t>Umpeenpanosta tunnutukseen</t>
  </si>
  <si>
    <t>Nykytilanne, ok</t>
  </si>
  <si>
    <t>Väkirehumäärä umpikaudella ennen tunnutusta</t>
  </si>
  <si>
    <t>Umpikauden dieetin energiapit</t>
  </si>
  <si>
    <t>Lypsy- ja umpipäiviä täytyy tulla 365 pv/kalenterivuosi</t>
  </si>
  <si>
    <t>Dieetin sulamaton osa, umpilehmät</t>
  </si>
  <si>
    <t>Dieetin sulamaton osa, lehmät nurmi</t>
  </si>
  <si>
    <t>Dieetin sulamaton osa, lehmät kokovilja</t>
  </si>
  <si>
    <t>Dieetin sulamaton osa, hiehot</t>
  </si>
  <si>
    <t>yksilötaso</t>
  </si>
  <si>
    <t>keskim umpikaudella</t>
  </si>
  <si>
    <t>apilan satofunktio on hämärä. Pitää tsekata paljonko satoa tulee huomioiden lietteen N ja ilmasta tapahtuva typensidonta</t>
  </si>
  <si>
    <t>Annettu luku sisältäen kaikki viljelytoimenpiteet</t>
  </si>
  <si>
    <t>Tarvittava peltoala /le</t>
  </si>
  <si>
    <t>karja</t>
  </si>
  <si>
    <t>ha uudistukselle</t>
  </si>
  <si>
    <t>nuorkarjan osuus</t>
  </si>
  <si>
    <t>ha / vain nuorkarja</t>
  </si>
  <si>
    <t>Kokoviljan osuus hiehoilla</t>
  </si>
  <si>
    <t>Kokoviljan osuus umppareilla</t>
  </si>
  <si>
    <t>Määritä umppareiden kv osuus. Oletus 40 %</t>
  </si>
  <si>
    <t>N käytettävissä peltoviljelyyn</t>
  </si>
  <si>
    <t>karkearehun määrässä tappio mukana</t>
  </si>
  <si>
    <t>n</t>
  </si>
  <si>
    <t>P, g/kgDM</t>
  </si>
  <si>
    <t>P kg</t>
  </si>
  <si>
    <t>P poistuma kg/lehmä/vuosi</t>
  </si>
  <si>
    <t>kg P</t>
  </si>
  <si>
    <r>
      <t>P (g/pv) = (0.002 × EP + 1.0 × KA</t>
    </r>
    <r>
      <rPr>
        <vertAlign val="subscript"/>
        <sz val="11"/>
        <color theme="1"/>
        <rFont val="Times New Roman"/>
        <family val="1"/>
      </rPr>
      <t>syo</t>
    </r>
    <r>
      <rPr>
        <sz val="11"/>
        <color theme="1"/>
        <rFont val="Times New Roman"/>
        <family val="1"/>
      </rPr>
      <t xml:space="preserve"> + 0.9 × Maito) / 0.70</t>
    </r>
  </si>
  <si>
    <t>Lehmien fosforin tarve Pekan "Maitotilan fosforikierron mallintaminen" mukaan, EP=elopaino, fosforin hyväksikäyttö 70 %</t>
  </si>
  <si>
    <t>tarkistus</t>
  </si>
  <si>
    <t>&lt;-piilo</t>
  </si>
  <si>
    <t>eritys/g tuotospv</t>
  </si>
  <si>
    <t>N pit umpidieetissä</t>
  </si>
  <si>
    <t>Hiehojen dieetin N pit</t>
  </si>
  <si>
    <t>g N/KgKa</t>
  </si>
  <si>
    <t>osuus kok N</t>
  </si>
  <si>
    <t>kg N /karja</t>
  </si>
  <si>
    <t>kg N /karja/v</t>
  </si>
  <si>
    <t>apila tsekkaamatta</t>
  </si>
  <si>
    <t>10 000 / Vr 50% / normivalk</t>
  </si>
  <si>
    <t>10 000 / Vr 50% / matala valk</t>
  </si>
  <si>
    <t>10 000 / Vr 40% / matala valk</t>
  </si>
  <si>
    <t>10 000 / Vr 40% / normi valk</t>
  </si>
  <si>
    <t>Väkirehun RV pitoisuus</t>
  </si>
  <si>
    <t>P saanti kg/le</t>
  </si>
  <si>
    <t>export</t>
  </si>
  <si>
    <t>0.0214*LW + 0.299</t>
  </si>
  <si>
    <t>NRC 1980, Nousiainen 2011</t>
  </si>
  <si>
    <t>Ruhon P %</t>
  </si>
  <si>
    <t>0.0067 *LW + 0.055</t>
  </si>
  <si>
    <t>yhteensä /le</t>
  </si>
  <si>
    <t>Välitysvasikan paino</t>
  </si>
  <si>
    <t>oletus</t>
  </si>
  <si>
    <t>maidossa kg</t>
  </si>
  <si>
    <t>Myntimaidon osuus</t>
  </si>
  <si>
    <t>Poiston mukana teuraaksi, le</t>
  </si>
  <si>
    <t>Poiston mukana teuraaksi, hi</t>
  </si>
  <si>
    <t>Eritys P</t>
  </si>
  <si>
    <t>kg P sontaan</t>
  </si>
  <si>
    <t>Virtsa ei sisällä fosforia</t>
  </si>
  <si>
    <t>P eritys /lehmä/vuosi, sisältää uudistuksen</t>
  </si>
  <si>
    <t>P eritys lehmää kohti/v</t>
  </si>
  <si>
    <t>P saanti</t>
  </si>
  <si>
    <t>P poistuma</t>
  </si>
  <si>
    <t>Lannoite P</t>
  </si>
  <si>
    <t>P maidon mukana</t>
  </si>
  <si>
    <t>P vasikoiden mukana</t>
  </si>
  <si>
    <t>P teuraiden mukana</t>
  </si>
  <si>
    <t>rouheen P pitoisuus</t>
  </si>
  <si>
    <t>Kiv P</t>
  </si>
  <si>
    <t>Porttitase, kg P /karja</t>
  </si>
  <si>
    <t>Jää jakoon</t>
  </si>
  <si>
    <t>Nurmelle</t>
  </si>
  <si>
    <t>Viljalle maksimi 32 m3/v, jos P pitoisuus 0.5 kg/m3</t>
  </si>
  <si>
    <t>Ostotyppeä, koska fosfori määrää lietteenkäytön ylärajan</t>
  </si>
  <si>
    <t>lietekuutio</t>
  </si>
  <si>
    <t>Lietteessä P</t>
  </si>
  <si>
    <t>Lietteen P</t>
  </si>
  <si>
    <t>kg P/m3</t>
  </si>
  <si>
    <t>Maaningan näytteiden keskiarvo 0.47 kg P/m3</t>
  </si>
  <si>
    <t>kerroin kokN-lieteP</t>
  </si>
  <si>
    <t xml:space="preserve">osuus </t>
  </si>
  <si>
    <t>Nitraattidirektiivin mukainen kokonais N 170 kg/ha. Fosforirajoituksella 135 kg totN</t>
  </si>
  <si>
    <t>Oletusarvona nurmille ei lisäfosforia anneta. Ehtojen mukan mahdollista antaa 24 kg P/ha</t>
  </si>
  <si>
    <t>Ostettavat</t>
  </si>
  <si>
    <t>lannoitteet</t>
  </si>
  <si>
    <t>P/ha</t>
  </si>
  <si>
    <t>Lietteen liuk N pit</t>
  </si>
  <si>
    <t>m3/ha</t>
  </si>
  <si>
    <t>Lisätieto lietteen käyttö</t>
  </si>
  <si>
    <t>/ha</t>
  </si>
  <si>
    <t>liete</t>
  </si>
  <si>
    <t xml:space="preserve">liete  </t>
  </si>
  <si>
    <t>ostomahdollisuus</t>
  </si>
  <si>
    <t>max P/ha</t>
  </si>
  <si>
    <t xml:space="preserve">Kokoviljan lannoitus lietteen liukoisella typellä. </t>
  </si>
  <si>
    <t>Kokoviljalle saa antaa fosforia max 24 kg viljavuusluokassa välttävä</t>
  </si>
  <si>
    <t>Luokassa välttävä maksimi 16, heikommissa luokissa 26 tai 34 kg P</t>
  </si>
  <si>
    <t>Vasikoiden juottorehua</t>
  </si>
  <si>
    <t>kg/pv</t>
  </si>
  <si>
    <t>Juottorehu</t>
  </si>
  <si>
    <t>Vasikat</t>
  </si>
  <si>
    <t>Juomarehu</t>
  </si>
  <si>
    <t>Yksilötaso on rakennettu yhtä lypsylehmää ja sen vaatimaa vajaata hiehoa kohti</t>
  </si>
  <si>
    <t>jää sijoittamatta pellolle =&gt; siirretään naapurille. Negatiivista lukua ei pitäisi tulla. No ei oikein kyllä positiivistakaan</t>
  </si>
  <si>
    <t>pitoisuus</t>
  </si>
  <si>
    <t>Juomarehu P</t>
  </si>
  <si>
    <t>kg/tila vuositaso</t>
  </si>
  <si>
    <t>kg N /ha</t>
  </si>
  <si>
    <t>kg/ha vuositaso</t>
  </si>
  <si>
    <t>vakiotuotos 24 kg, 9000 keskituotos</t>
  </si>
  <si>
    <t>Ptase</t>
  </si>
  <si>
    <t>kg/ha</t>
  </si>
  <si>
    <t>Jos halutaan antaa fosforia nurmilohkoille. Viljan fosfori tulee täyteen lietteestä</t>
  </si>
  <si>
    <t>9 000 / Vr 40% / matala valk</t>
  </si>
  <si>
    <t>9 000 / Vr 40% / norm valk</t>
  </si>
  <si>
    <t>9 000 / Vr 50% / matala valk</t>
  </si>
  <si>
    <t>tase ilman P lannoitusta</t>
  </si>
  <si>
    <t>9 000 / Vr 50% / norm valk</t>
  </si>
  <si>
    <t>vakiotuotos 32 kg, 10 000 keskituotos</t>
  </si>
  <si>
    <t>10000 /vr 45%/norm valk</t>
  </si>
  <si>
    <t>kg N / ha</t>
  </si>
  <si>
    <t xml:space="preserve">    kokonais</t>
  </si>
  <si>
    <t xml:space="preserve">    ha kohtainen</t>
  </si>
  <si>
    <t>rehukustannus</t>
  </si>
  <si>
    <t>€ / kg ekm</t>
  </si>
  <si>
    <t>Nuorkarjaa</t>
  </si>
  <si>
    <t>Säilörehuala</t>
  </si>
  <si>
    <t>Kokovilja-ala</t>
  </si>
  <si>
    <t>Typpitase</t>
  </si>
  <si>
    <t>Rehukustannus</t>
  </si>
  <si>
    <t>P lannoituksella</t>
  </si>
  <si>
    <t>ilman P lannoitusta</t>
  </si>
  <si>
    <t>Fosforitase 2</t>
  </si>
  <si>
    <t>Ammoniakkipäästö</t>
  </si>
  <si>
    <t>kg amm N/v</t>
  </si>
  <si>
    <t>sis navetta ja lietevarastotappio</t>
  </si>
  <si>
    <t>Ostettavan viljan osuus karjan tarpeesta, 0-1</t>
  </si>
  <si>
    <t>Ostettavan viljan osuus</t>
  </si>
  <si>
    <t>Ostoviljaa</t>
  </si>
  <si>
    <t>Ostovilja</t>
  </si>
  <si>
    <t>yhteensä oma pelto</t>
  </si>
  <si>
    <t>ostoviljan osuus</t>
  </si>
  <si>
    <t>Omaa Viljaa</t>
  </si>
  <si>
    <t>Viljan mukana N</t>
  </si>
  <si>
    <t>viljan</t>
  </si>
  <si>
    <t>tuonti kgka</t>
  </si>
  <si>
    <t>Rvpit</t>
  </si>
  <si>
    <t>Viljan</t>
  </si>
  <si>
    <t xml:space="preserve">Viljan  </t>
  </si>
  <si>
    <t>Npit</t>
  </si>
  <si>
    <t>Karjataso</t>
  </si>
  <si>
    <t>Kuiva-ainesyönti</t>
  </si>
  <si>
    <t>Väkirehun syönti</t>
  </si>
  <si>
    <t>Vr %</t>
  </si>
  <si>
    <t>Säilörehun syönti</t>
  </si>
  <si>
    <t>Rypsiä väkirehusta</t>
  </si>
  <si>
    <t>Nurmitarve</t>
  </si>
  <si>
    <t>kuiva tn</t>
  </si>
  <si>
    <t>umpparit</t>
  </si>
  <si>
    <t>Nurmea</t>
  </si>
  <si>
    <t>Oma vilja</t>
  </si>
  <si>
    <t>Hävikki</t>
  </si>
  <si>
    <t>Karkearehun kaikki tappiot korjuun jälkeen, sisältää puristenesteen ja siilohengityksen</t>
  </si>
  <si>
    <t>ostoviljatarve</t>
  </si>
  <si>
    <t>Kokoviljatarve</t>
  </si>
  <si>
    <t>Omaviljan tarve</t>
  </si>
  <si>
    <t>omaviljan osuus</t>
  </si>
  <si>
    <t>yht tn</t>
  </si>
  <si>
    <t>Allaoleva ei ehkä käytössä</t>
  </si>
  <si>
    <t>Tarkista</t>
  </si>
  <si>
    <t>Omavilja</t>
  </si>
  <si>
    <t>Oma Peltoala</t>
  </si>
  <si>
    <t xml:space="preserve">    Eläintiheys (omat pellot)</t>
  </si>
  <si>
    <t>On riippumaton lypsylehmien strategiasta</t>
  </si>
  <si>
    <t>Kokoviljalogiikka muutenkin. Nurmiala pienenee kun kokovilja tulee kehiin, mutta meneekö kvantitatiivisesti oikein?</t>
  </si>
  <si>
    <t>Lähtötiedot</t>
  </si>
  <si>
    <t>10000 /vr 35%</t>
  </si>
  <si>
    <t>Keksityt luvut, täytyy vielä käyttää Tuotosvastelaskennassa</t>
  </si>
  <si>
    <t>Narutesti 26.3 kk</t>
  </si>
  <si>
    <t>Hiehojen dieetin ME pit juottok jälkeen</t>
  </si>
  <si>
    <t xml:space="preserve">Vasikoiden juotto </t>
  </si>
  <si>
    <t>yli 60 pv hiehoja</t>
  </si>
  <si>
    <t>Narutestin painotettu vasikkakauden jälkeen</t>
  </si>
  <si>
    <t>Normihieho juottokauden jälkeen 10.7 MJME</t>
  </si>
  <si>
    <t>Narutestin normihieho 15 %. Hiehojen ruokintaa ei kannata muuttaa ellei kaikki energiapitoisuudet ym ole täsmätty</t>
  </si>
  <si>
    <t>Normivasikka, tätä ei vielä linkitetty eteenpäin. Näitä rehuja ei tarvita omasta viljelystä, mutta ostorehuina kyllä</t>
  </si>
  <si>
    <t>Nurmistrategia lypsylehmillä</t>
  </si>
  <si>
    <t>Karja D27</t>
  </si>
  <si>
    <t>hiehoa per lehmä. Pitäisik tähän soluun viittaava kaava olla eijuottohiehoa per lehmä</t>
  </si>
  <si>
    <t>kv + sr sama</t>
  </si>
  <si>
    <t>Karjataso saadaan kertomalla yksilötaso ko eläinten lukumäärällä. Lehmiä ja umppareita saman verran</t>
  </si>
  <si>
    <t>Narutestissä normilehmän ka sulavuus 0.722</t>
  </si>
  <si>
    <t>vakio 28 veikkaus</t>
  </si>
  <si>
    <t>Jos dieetissä on vähänkin kokoviljaa niin sulavuus on summassa laitettu huonommaksi</t>
  </si>
  <si>
    <t>Narutesti, about sama kuin lypsävillä</t>
  </si>
  <si>
    <t>Narutesti, kaikilla lehmäryhmillä sama. Juottovasikat pitää ottaa mukaan peltobudjetin jälkeen</t>
  </si>
  <si>
    <t>Poistetut lehmät</t>
  </si>
  <si>
    <t>Pelto i16</t>
  </si>
  <si>
    <t>Amm N määrä</t>
  </si>
  <si>
    <t>tappio navetassa</t>
  </si>
  <si>
    <t>tappio lietevarastossa</t>
  </si>
  <si>
    <t>tappio pellolla</t>
  </si>
  <si>
    <t>Kalium</t>
  </si>
  <si>
    <t>virtsan N</t>
  </si>
  <si>
    <t>N virtsa</t>
  </si>
  <si>
    <t>Umppareiden päiväsyönti kgka</t>
  </si>
  <si>
    <t>umppareiden dieetin RV pitoisuus</t>
  </si>
  <si>
    <t>Sonnan N, umpilehmät, g/umpipäivä</t>
  </si>
  <si>
    <t>g RV / umpipäivä</t>
  </si>
  <si>
    <t>Huhtanen et al. 2008 JDS91:3589-3599 table 6, Narutesti</t>
  </si>
  <si>
    <t>0.7*hieho</t>
  </si>
  <si>
    <t>Vasikat juo maitoa päivässä kahden viikon ajan</t>
  </si>
  <si>
    <t>maidon N</t>
  </si>
  <si>
    <t>Pikkuvasikoiden maitojuotto</t>
  </si>
  <si>
    <t>l</t>
  </si>
  <si>
    <t>litraa päivässä kahden viikon ajan</t>
  </si>
  <si>
    <t>g N/litra</t>
  </si>
  <si>
    <t>juottovasikka N/pv</t>
  </si>
  <si>
    <t>kg N / juottokausi. Jokaista poikimista kohti yksi juottilainen</t>
  </si>
  <si>
    <t>0.7hieho</t>
  </si>
  <si>
    <t>Hiehoilla pidättyminen kasvuun pitää kuitenkin huomioida, koska se vaikuttaa virtsan N pooliin. Pidättynyt poistuu systeemistä teuraiden mukana</t>
  </si>
  <si>
    <t>Hiehon kasvun N</t>
  </si>
  <si>
    <t>0.7 hieho</t>
  </si>
  <si>
    <t>hieho kasvaa 0.7 kg / pv ja kasvussa on 25 g N/kg. Annun Narutesti taulukossa 30 g</t>
  </si>
  <si>
    <t>uudistus</t>
  </si>
  <si>
    <t>mineralisoituu ammoniakiksi (TAN) varastoinnin aikana</t>
  </si>
  <si>
    <t>TAN sonta</t>
  </si>
  <si>
    <t>TAN virtsa</t>
  </si>
  <si>
    <t>ammoniakkitappiot navetassa, 20 % TAN, kg</t>
  </si>
  <si>
    <t>vähennys navetan tappioista viileän ilmaston vuoksi, %</t>
  </si>
  <si>
    <t>vähennys navettatappioissa, kg N</t>
  </si>
  <si>
    <t>ammoniakkitappiot navetassa, viileys huomioiden, kg N</t>
  </si>
  <si>
    <t>total TAN</t>
  </si>
  <si>
    <t>navetta</t>
  </si>
  <si>
    <t>TAN lietesäiliössä, navetan haihtuminen ja sonnan mineralisaatio huomioitu</t>
  </si>
  <si>
    <t>lietesäiliö</t>
  </si>
  <si>
    <t>ammoniakkitappiot lietesäiliössä, 12 %, kuorettunut avosäiliö</t>
  </si>
  <si>
    <t>vähennys tappioissa viileästä ilmastosta johtuen, 20 %, kg N</t>
  </si>
  <si>
    <t>ammoniakkitappiot lietesäiliössä, viileys huomioiden, kg N</t>
  </si>
  <si>
    <t>TAN pellolle, kg</t>
  </si>
  <si>
    <t>ammoniakkipäästöt lietteen sijoitusmenetelmällä, kg N</t>
  </si>
  <si>
    <t>ammoniakkitappiot peltolevityksessä, viileys huomioiden, kg N</t>
  </si>
  <si>
    <t>ammoniakkitappion osuus lietteen sijoitusmenetelmällä</t>
  </si>
  <si>
    <t>Eritys Virtsassa, per karja</t>
  </si>
  <si>
    <t>Sijoituslevitys</t>
  </si>
  <si>
    <t>NH3 tappio</t>
  </si>
  <si>
    <t>Eritetty tot N</t>
  </si>
  <si>
    <t>Hajalevitys</t>
  </si>
  <si>
    <t>sijoituslevitys</t>
  </si>
  <si>
    <t>Ei 
Lisävalk</t>
  </si>
  <si>
    <t>Norm 
Lisävalk</t>
  </si>
  <si>
    <t>Korkea 
Lisävalk</t>
  </si>
  <si>
    <t>Nurmi, 240 kg N</t>
  </si>
  <si>
    <t>Nurmi, 120 kg N</t>
  </si>
  <si>
    <t>Nurmi, 240 N, hajalevitys</t>
  </si>
  <si>
    <t>max 4 tn ei sisällä satokorotusta lannoitustasoon. Luken tilaston keskiarvo vuosille 17 ja 18</t>
  </si>
  <si>
    <t xml:space="preserve">  Luomuvilja</t>
  </si>
  <si>
    <t xml:space="preserve">  Tavanomainen vilja</t>
  </si>
  <si>
    <t>Tämä ei käytössä, koska vaihtoehdoissa ei ole luomuviljantuotantoa</t>
  </si>
  <si>
    <t>Tappio varastossa</t>
  </si>
  <si>
    <t>Kg N/tila</t>
  </si>
  <si>
    <t>KgN/lehmä</t>
  </si>
  <si>
    <t>Ammoniakkitappio nav+säiliö</t>
  </si>
  <si>
    <t>N tase, kg N/ha</t>
  </si>
  <si>
    <t>Apilan typensidonta, kg N/ha</t>
  </si>
  <si>
    <t>/lemmu</t>
  </si>
  <si>
    <t>/lemmun ala</t>
  </si>
  <si>
    <t>le</t>
  </si>
  <si>
    <t>kar</t>
  </si>
  <si>
    <t xml:space="preserve">yli 60 pv hiehoa /lehmä </t>
  </si>
  <si>
    <t>Tase ilman lannoitusta</t>
  </si>
  <si>
    <t>Tase lannoituksen kanssa</t>
  </si>
  <si>
    <t>kg N/lehmä</t>
  </si>
  <si>
    <t>kg N / lehmä</t>
  </si>
  <si>
    <t>tarve liukN/lehmä</t>
  </si>
  <si>
    <t>P kokonaiseritys /v /karja</t>
  </si>
  <si>
    <t>Alle 50 kiloa ei pellolle viitsi mennä levittämään. Negat luku tarkoittaa että pelkkä liete ylittää tavoitteen.</t>
  </si>
  <si>
    <t>Nurmi+Apila, 120 N</t>
  </si>
  <si>
    <t>Nurmi+Kokovilja, 240 N</t>
  </si>
  <si>
    <t>Peltoala / le</t>
  </si>
  <si>
    <t>Amm N tappio, sij</t>
  </si>
  <si>
    <t>Amm N tappio, haja</t>
  </si>
  <si>
    <t>Strategioiden ulkopuoliset lannoitustasot eivät päivity säilörehun raakavalkuaiseksi ruokintaan, Virhe pieni. Vois korjata vääntämällä korjauskertoimen lann tason ja RV:n välille</t>
  </si>
  <si>
    <t>päivitä ekm</t>
  </si>
  <si>
    <t>Nurmi, 240 N, sijoitus</t>
  </si>
  <si>
    <t>Nurmi+Apila, 120 kg N</t>
  </si>
  <si>
    <t>nurmen N-lannoitustaso</t>
  </si>
  <si>
    <t>Jää puuttumaan</t>
  </si>
  <si>
    <t>Apilan lannoitustaso</t>
  </si>
  <si>
    <t>N sidonta = ARVIOsato (kg ka/ha) x 0,026+4</t>
  </si>
  <si>
    <t>Apilan N sitominen ilmakehästä. Lopullisesta sadosta apilaa 40 %. Sidotusta kokonaismäärästä puolet poistuu sadossa ja puolet jää peltoon</t>
  </si>
  <si>
    <t>Maaritin apilakokeen satotiedot, huomioitu 0.6 maatilakerroin. Tämä funktio tiputettu pois, koska nurmen ja apilan sato melkein sama 120 N lannoitustasolla</t>
  </si>
  <si>
    <t>kg N/ha sisältäen väkilannoitteen ja typensidonnan</t>
  </si>
  <si>
    <t>Nurmiala /le</t>
  </si>
  <si>
    <t>Apilatapauksessa 120 N lannoitustasolla sato nousee, mutta myös</t>
  </si>
  <si>
    <t>ekm, syönti ja säilörehuntarve</t>
  </si>
  <si>
    <t>lannoituksessa pitäisi listä kaavaan lannoitetappio</t>
  </si>
  <si>
    <t>Virtsan typpi</t>
  </si>
  <si>
    <t>kg/v</t>
  </si>
  <si>
    <t>EKM vuosituotos</t>
  </si>
  <si>
    <t>Rehuntarve / lehmä (sis uudist)</t>
  </si>
  <si>
    <t>Karkearehun tarve, tn /le, sis uudistus</t>
  </si>
  <si>
    <t>Karkearehua</t>
  </si>
  <si>
    <t>tn ka /v</t>
  </si>
  <si>
    <t>Nurmiala ha/le</t>
  </si>
  <si>
    <t>Ammoniakkitypen tappiot % kokonaistypen erityksestä</t>
  </si>
  <si>
    <t>Apilan satofunktion kanssa tulkintaongelmia joten oletetaan apilapitoisen ja norminurmen sadot samoiksi</t>
  </si>
  <si>
    <t>LOGIIKKANA TÄLLÄ HETKELLÄ, ETTÄ APILAN TYPENSIDONTA VAIN KORVAA OSTOTYPPEÄ JA SATOTASO PYSYY SAMANA APILAN JA NURMEN VÄLILLÄ</t>
  </si>
  <si>
    <t>ha koko karjaa kohti</t>
  </si>
  <si>
    <t>Apilan tapauksessa biologinen typensidonta vähentääostolannoitteen käyttöä</t>
  </si>
  <si>
    <t>ei ole skenaariota, jossa 120 kg N + typensidonta</t>
  </si>
  <si>
    <t>Tarvittava oma peltoala</t>
  </si>
  <si>
    <t>LOPPURAPORTTIIN KOOTUT TAULUKOT</t>
  </si>
  <si>
    <t>Peltojen kasvuluokka on laskelmassa 0.8</t>
  </si>
  <si>
    <t>Jää jakoon kg /lehmä</t>
  </si>
  <si>
    <t>Vilja on seuraava, kokoviljatapauksessa liete ei välttämättä riitä</t>
  </si>
  <si>
    <t>Ostoviljan määrä /karja</t>
  </si>
  <si>
    <t>viljan P pitoisuus</t>
  </si>
  <si>
    <t>kg /tila</t>
  </si>
  <si>
    <t>käyttö N/lehmä (ei /ha)</t>
  </si>
  <si>
    <t>pois</t>
  </si>
  <si>
    <t>Muista tarkistaa mikä lannoitustaso on valittu</t>
  </si>
  <si>
    <t>Tappio nav+säiliö</t>
  </si>
  <si>
    <t>nurmiala</t>
  </si>
  <si>
    <t>Viljaa</t>
  </si>
  <si>
    <t>kg/lehmä</t>
  </si>
  <si>
    <t>NH3, kg/lehmä</t>
  </si>
  <si>
    <t>N hyväksisäyttö maidontuotannossa</t>
  </si>
  <si>
    <t>N hyväksikäyttö maidont</t>
  </si>
  <si>
    <t>N hyväksikäyttö, osuus</t>
  </si>
  <si>
    <t>Säilörehu, lehmät</t>
  </si>
  <si>
    <t>Säilörehu, ei lypsävät</t>
  </si>
  <si>
    <t>Ensimmäinen niitto kohdennetaan pelkästään lehmille</t>
  </si>
  <si>
    <t>Toisen niiton rehu  + erikseen tehtävä umpparirehu</t>
  </si>
  <si>
    <t>Viljaseos (energiakomponentti)</t>
  </si>
  <si>
    <t>Rypsirouhe (valk komponentti)</t>
  </si>
  <si>
    <t>Lehmille 25 %, muille vapaasti valittava osuus</t>
  </si>
  <si>
    <t>Normilehmä, Narutesti</t>
  </si>
  <si>
    <t>VarmaNurmi</t>
  </si>
  <si>
    <t>Lypsävien dieettirivi</t>
  </si>
  <si>
    <t>Säilörehu, lypsyssä</t>
  </si>
  <si>
    <t>Säilörehu, umppari+nuorkarja</t>
  </si>
  <si>
    <t>x</t>
  </si>
  <si>
    <t>Toisen niiton rehu  + erikseen tehtävä umpparirehu, tarvitaan ainoastaan rehuarvon talletusta varten</t>
  </si>
  <si>
    <t>viljaseos</t>
  </si>
  <si>
    <t>kr_osuus</t>
  </si>
  <si>
    <t>kv_osuus</t>
  </si>
  <si>
    <t>tsekki</t>
  </si>
  <si>
    <t>Umppareiden dieettirivi</t>
  </si>
  <si>
    <t>Uudisporukan dieettirivi</t>
  </si>
  <si>
    <t>Osuudet</t>
  </si>
  <si>
    <t>Väkirehusta 20 % on rypsiä, kivennäinen on vakio 1 % kuiviksen syönnistä</t>
  </si>
  <si>
    <t>Keskimäärin tunnutuskaudella, tunnutuskauden pituus vakioitu 3 vk. Tästä ei takaisinkytkentää dieetin energiapitoisuuteen. Kuuluu hienosäätöön. No tässä väkirehu ei sisällä kivennäistä</t>
  </si>
  <si>
    <t>Sama kuin Narutesti, umpipäiviä vuodessa 40</t>
  </si>
  <si>
    <t>=POTENSSI(elopaino;0,75)*0,515+32.4</t>
  </si>
  <si>
    <t>Korjaamaton MJME. Narutestin näkemys 10.2 MJ. Umppareiden säilörehu annetaan strategian yhteydessä, mutta ei päivity kehäviittauksen vuoksi tähän. Säädä by hand solu D12 samaksikuin solu E12</t>
  </si>
  <si>
    <t>On riippumaton lypsylehmien strategiasta. Kun muutat niin muuta energiapitoisuus soluus D12</t>
  </si>
  <si>
    <t>rivi tsekattu</t>
  </si>
  <si>
    <t>ha umppareille</t>
  </si>
  <si>
    <t>lehmäluku</t>
  </si>
  <si>
    <t>Pelkä umppariniitto</t>
  </si>
  <si>
    <t>ha / umppariniitto</t>
  </si>
  <si>
    <t>brutto</t>
  </si>
  <si>
    <t>Lietteen liukoista nurm</t>
  </si>
  <si>
    <t>koko ala, total</t>
  </si>
  <si>
    <t>Huomioita</t>
  </si>
  <si>
    <t>Umppareiden elämä mutkikasta. Voidaan syöttää lehmien rehuja tai sitten umpparirehuja. Välituloksia upotettu Pelto-välilehdelle. Käytetään oletuksena Maksikakkosta ja kokoviljaa umppareille.</t>
  </si>
  <si>
    <t>ha karja</t>
  </si>
  <si>
    <t xml:space="preserve">Käytettävissä oleva typpi lasketaan erityksen kautta. Eritetyssä määrässä ei ole ammoniakkitappioita. Eli erityksestä pitää vähentää varastohaihdunta, mutta ei peltotappioita. </t>
  </si>
  <si>
    <t>kg (sis hieho, umppari, tuotoskausi. total)</t>
  </si>
  <si>
    <t>kg NH3 /v/tila</t>
  </si>
  <si>
    <t>ok, ammoniakkitappio on huomioitu</t>
  </si>
  <si>
    <t xml:space="preserve">ok  </t>
  </si>
  <si>
    <t>kg liete N/lehmä. Kokoviljan tarve tulee aina täytettyä</t>
  </si>
  <si>
    <t>Jää jakoon liete N</t>
  </si>
  <si>
    <t>kg N/le  ostotyppeä täydentämään lannoitus suunniteltuun</t>
  </si>
  <si>
    <t>1=Nurmistrategia, 2=Apila. Oletusarvona nurmi. Vaikuttaa nurmen satofunktioon, ja vähän muuallekkin. Apilan osuus sadossa fixattu 40 prossaksi</t>
  </si>
  <si>
    <t>ok, negatiivista lukua nyt ei pitäisi tulla vaikka nuorkarja ja umpparit kaikki kokoviljalle</t>
  </si>
  <si>
    <t>kg N /le apilan typensidonnan kautta korvaamaan ostotyppeä. Tulostuu saavutetulle N-lannoitusriville</t>
  </si>
  <si>
    <t>kgN/ lehmä</t>
  </si>
  <si>
    <r>
      <t>Sisältää ostotypen ja lietteen liukoisen typen, ja</t>
    </r>
    <r>
      <rPr>
        <sz val="11"/>
        <color rgb="FFFF0000"/>
        <rFont val="Calibri"/>
        <family val="2"/>
        <scheme val="minor"/>
      </rPr>
      <t xml:space="preserve"> apilan typensidonnan</t>
    </r>
  </si>
  <si>
    <t>kgN/ ha, liete</t>
  </si>
  <si>
    <t>kgN/ ha, typensidonta</t>
  </si>
  <si>
    <t>kgN/ ha, osto</t>
  </si>
  <si>
    <t>Apilan lisälannoituksen apurivit, kun kyse ei ole luomusta</t>
  </si>
  <si>
    <t>Maksimi sallittu, toteuma riippuu viljelyn toteutuksesta. Korvaa suoraan lannoitetyppeä 1:1</t>
  </si>
  <si>
    <t>Oletuksena apilastrategiassa, että säilörehun 1 niitossa apilaa 30 % ja 2-niitossa 50 %</t>
  </si>
  <si>
    <t>Toteut nurmien N lann</t>
  </si>
  <si>
    <t>Kun nurmen lannoitustasoa lasketaan, niin satotaso laskee. Samalla tarvittava peltoala nousee ja tulee lisää lietteen levitysalaa.</t>
  </si>
  <si>
    <t>m3 nurmille</t>
  </si>
  <si>
    <t>liimaus tämän solun alle, jos fosforitaseessa häikkää</t>
  </si>
  <si>
    <t>Peltosivulta poistettu fosforipalikka</t>
  </si>
  <si>
    <t>kokoviljaa</t>
  </si>
  <si>
    <t>ha tilan pellot</t>
  </si>
  <si>
    <t>Ostotyppeä kg/le, koska fosfori määrää lietteenkäytön ylärajan</t>
  </si>
  <si>
    <t xml:space="preserve">liete liuk N </t>
  </si>
  <si>
    <t>kg/tila</t>
  </si>
  <si>
    <t>?</t>
  </si>
  <si>
    <t>ha/le</t>
  </si>
  <si>
    <t>ha/karja</t>
  </si>
  <si>
    <t>Allaoleva taulukko ei tsekattu</t>
  </si>
  <si>
    <t>koska eritys</t>
  </si>
  <si>
    <t>on per lehmä</t>
  </si>
  <si>
    <t>Viljaseos</t>
  </si>
  <si>
    <t>Ravinnetase P5, tsekkaa vasujen ruokinta ristiin Narutestin kanssa</t>
  </si>
  <si>
    <t>ok-</t>
  </si>
  <si>
    <t>Hiehot /hi</t>
  </si>
  <si>
    <t>juottovasikka g N / kaksi viikkoa</t>
  </si>
  <si>
    <t>Nousiainen et al 2011, narutestin toinen vaihtoehtokaava</t>
  </si>
  <si>
    <t xml:space="preserve">Nousiainen et al2011 </t>
  </si>
  <si>
    <t>yhteensä, kg/v</t>
  </si>
  <si>
    <t>funkt</t>
  </si>
  <si>
    <t>tn/ha Sisältää vain yhden niiton, lukua ei tarvita kuin välitarkasteluun</t>
  </si>
  <si>
    <t>Jos käytetään samaa alaa lehmien kanssa ja kaikkia niittoja</t>
  </si>
  <si>
    <t>Jos umppareille ei ykkösniittoa</t>
  </si>
  <si>
    <t xml:space="preserve">Nurmea, maksikakkonen. </t>
  </si>
  <si>
    <t>tn umpp+hi</t>
  </si>
  <si>
    <t>s-rehua</t>
  </si>
  <si>
    <t>kark rehua</t>
  </si>
  <si>
    <t>Narutesti laskelma, Jouni/Eriksson</t>
  </si>
  <si>
    <t>Virtsan määrä kg</t>
  </si>
  <si>
    <t>(2.7+0.053*(C22*C25))*1.03</t>
  </si>
  <si>
    <t>Perustuu dieetin kaliumpitoisuuteen ka ka saantiin</t>
  </si>
  <si>
    <t>(2.7+0.053*(DieetinKpit*intake))*1.03</t>
  </si>
  <si>
    <t>lehmän ka saanti</t>
  </si>
  <si>
    <t>lehmien dieetin K-pit</t>
  </si>
  <si>
    <t>virtsaa kuiva-aineena</t>
  </si>
  <si>
    <t>Virtsan määrä, lypsävät</t>
  </si>
  <si>
    <t>virtsaa kuiva-aineena, lypsävät</t>
  </si>
  <si>
    <t>tämä ei mukana erityksessä</t>
  </si>
  <si>
    <t>Ei käytössä</t>
  </si>
  <si>
    <t>Eritys sonnassa, /v</t>
  </si>
  <si>
    <t>Eritys virtsassa, /v</t>
  </si>
  <si>
    <t>Eritys sonta+virtsa, /v</t>
  </si>
  <si>
    <t>Narutesti sulavuus 690. Perustuu Jounin kaavoihin</t>
  </si>
  <si>
    <t>umpparin ka saanti</t>
  </si>
  <si>
    <t>umpparien dieetin K-pit</t>
  </si>
  <si>
    <t>virtsaa kuiva-aineena, umpp</t>
  </si>
  <si>
    <t>kgka/umpikausi</t>
  </si>
  <si>
    <t>kgka/pv</t>
  </si>
  <si>
    <t>kgka/tuotoskausi</t>
  </si>
  <si>
    <t>erityskg  ka</t>
  </si>
  <si>
    <t>Jos poikimaväli on 410 pv, niin lypsypäiviä tulee silloin keskimäärin 310 pv vuodessa. 321 pv otettu Narutestistä, joka huomioi viimeisen tuotoskauden vajauden</t>
  </si>
  <si>
    <t>-17.7+6.3*kaint+0.108*Nint</t>
  </si>
  <si>
    <t>lietekuutiota</t>
  </si>
  <si>
    <t>hiehojen ka saanti</t>
  </si>
  <si>
    <t>hiehojen dieetin K-pit</t>
  </si>
  <si>
    <t>Virtsan määrä, hiehot</t>
  </si>
  <si>
    <t>virtsaa kuiva-aineena, hieho</t>
  </si>
  <si>
    <t>kgka /vuosi/hieho, joita ei ole yhtä kokonaista per lehmä navetassa</t>
  </si>
  <si>
    <t>Alle 60 pv vasikat</t>
  </si>
  <si>
    <t>kpl paikalla vuoden jokaisena päivänä</t>
  </si>
  <si>
    <t xml:space="preserve">kg/pv </t>
  </si>
  <si>
    <t>virtsan määrä</t>
  </si>
  <si>
    <t>kg /vuosi / karja</t>
  </si>
  <si>
    <t>kg ka / vuosi / karja</t>
  </si>
  <si>
    <t>virtsan N määrä</t>
  </si>
  <si>
    <t>kg N per yksi karjassa oleva lehmä per vuosi</t>
  </si>
  <si>
    <t>kg ka yhtä karjassa olevaa lehmää kohti vuodessa</t>
  </si>
  <si>
    <t>Yli 60 pv hiehot</t>
  </si>
  <si>
    <t>Sonnan N</t>
  </si>
  <si>
    <t>g /syöty kuiva-ainekilo</t>
  </si>
  <si>
    <t>kg/vuosi</t>
  </si>
  <si>
    <t>yli 0 pv   hiehoa/lehmä</t>
  </si>
  <si>
    <t>Rehua hiehoille, yli 60 pv</t>
  </si>
  <si>
    <t>Hiehojen dieetin ME, yli 60 pv</t>
  </si>
  <si>
    <t>sonnan Npoistuma</t>
  </si>
  <si>
    <t>g/pv, kopioitu Narutestistä</t>
  </si>
  <si>
    <t>kg N yhtä karjassa olevaa lehmää kohti vuodessa</t>
  </si>
  <si>
    <t>eritys N so+vi</t>
  </si>
  <si>
    <t>Poistuma /elolehmä</t>
  </si>
  <si>
    <t xml:space="preserve">kokonais N lietesäiliössä </t>
  </si>
  <si>
    <t>lehmiä</t>
  </si>
  <si>
    <t>0-3 kk</t>
  </si>
  <si>
    <t>3-6 kk</t>
  </si>
  <si>
    <t>yli 6 kk</t>
  </si>
  <si>
    <t>taulukkoarvo</t>
  </si>
  <si>
    <t>LyVa</t>
  </si>
  <si>
    <t>Juomarehu + maito (lehm kiv)</t>
  </si>
  <si>
    <t>Sonta, lypsävät</t>
  </si>
  <si>
    <t>Virtsa, lypsävä</t>
  </si>
  <si>
    <t>Virtsa, umppari</t>
  </si>
  <si>
    <t>Virtsan määrä, umpparit</t>
  </si>
  <si>
    <t>Virtsa, hiehot, yli 60 pv</t>
  </si>
  <si>
    <t>Virtsa, hiehot, alle 60 pv</t>
  </si>
  <si>
    <t>Lypsävät</t>
  </si>
  <si>
    <t>Umpparit</t>
  </si>
  <si>
    <t>0-3</t>
  </si>
  <si>
    <t>3-6</t>
  </si>
  <si>
    <t>Taulukkoarvot Halola</t>
  </si>
  <si>
    <t>Taulukkoarvo LyVa</t>
  </si>
  <si>
    <t>yht m3</t>
  </si>
  <si>
    <t>hiehoja</t>
  </si>
  <si>
    <t>luokka</t>
  </si>
  <si>
    <t xml:space="preserve">Halola  </t>
  </si>
  <si>
    <t>ikäluokka</t>
  </si>
  <si>
    <t>poik ikä</t>
  </si>
  <si>
    <t>kpl /lehmä</t>
  </si>
  <si>
    <t>0-2</t>
  </si>
  <si>
    <t>6-26</t>
  </si>
  <si>
    <t>viipymä</t>
  </si>
  <si>
    <t>eläimiä</t>
  </si>
  <si>
    <t>halola</t>
  </si>
  <si>
    <t>yli 2 kk</t>
  </si>
  <si>
    <t>varastotarve m3</t>
  </si>
  <si>
    <t>yht hiehoja</t>
  </si>
  <si>
    <t>liete lypsävät</t>
  </si>
  <si>
    <t>liete umpparit</t>
  </si>
  <si>
    <t>liete hiehot</t>
  </si>
  <si>
    <t>liete vasut</t>
  </si>
  <si>
    <t>kpl/karja</t>
  </si>
  <si>
    <t>Uudistus %</t>
  </si>
  <si>
    <t>poikimaikä</t>
  </si>
  <si>
    <t>0-60 pv</t>
  </si>
  <si>
    <t>vara</t>
  </si>
  <si>
    <t>&gt; 60 pv</t>
  </si>
  <si>
    <t>yli 60 pv hiehojen määrä siirtyy Karja-sivulle</t>
  </si>
  <si>
    <t>Luntattu Narutestistä, vois vielä tsekata</t>
  </si>
  <si>
    <t>kgka vasurehua per vuosi per karja</t>
  </si>
  <si>
    <t>Vasut &lt;60 pv</t>
  </si>
  <si>
    <t>Varastotarve / karja</t>
  </si>
  <si>
    <t>tn tuore/umpikausi</t>
  </si>
  <si>
    <t>tn tuore/lypsykausi</t>
  </si>
  <si>
    <t>tn tuore /kalenterivuosi, rivistä löytyvät, &gt;60 pv</t>
  </si>
  <si>
    <t>tn / lypsykausi</t>
  </si>
  <si>
    <t>tn/ umpikausi</t>
  </si>
  <si>
    <t>tn/ kalenterivuosi</t>
  </si>
  <si>
    <t>Lietesäiliöön typpeä</t>
  </si>
  <si>
    <t>pesuvesiä päivässä</t>
  </si>
  <si>
    <t>litraa</t>
  </si>
  <si>
    <t>tn/v</t>
  </si>
  <si>
    <t>kg N/tn</t>
  </si>
  <si>
    <t>Arjan vakio 200 m3 per 35 lehmää. Tekee 5.7 kuutiota per lehmä</t>
  </si>
  <si>
    <t>Sadevesiä</t>
  </si>
  <si>
    <t>LyVa, sulavuus peruste</t>
  </si>
  <si>
    <t>Tarvittava lietesäiliökoko, m3</t>
  </si>
  <si>
    <t>Veikkaus että sadevettä saman verran kuin pesuvettä</t>
  </si>
  <si>
    <t>taulukko</t>
  </si>
  <si>
    <t>Varastokuutiot</t>
  </si>
  <si>
    <t>Sonnan N pitoisuus, kontrolliluku. Solidissa vastaava 23 g/kgka</t>
  </si>
  <si>
    <t>Sonnan N pitoisuus</t>
  </si>
  <si>
    <t>!!</t>
  </si>
  <si>
    <t>Malli antaa aika tujua lietettä. Sonnan N pitoisuus lehmillä 30 g/kgka kun SOLIDidssa 23 g/kgka. Tilanne johtaa siihen, että lietekuutioita tulee vähän, mutta konsentroituneita. Sonnan N-määrä tulee Pekan kaavalla ja sonnan ka määrä sulavuuden kautta</t>
  </si>
  <si>
    <t>N hyväksikäyttö tilatasolla</t>
  </si>
  <si>
    <t>Eritys sonnassa, per karja</t>
  </si>
  <si>
    <t>Luku vaikuttaa pieneltä vrt lietteen Npit 2.8 kg/m3</t>
  </si>
  <si>
    <t>ammoniakkitappion osuus lietteen hajalevitysmenetelmällä</t>
  </si>
  <si>
    <t>hajalevitys</t>
  </si>
  <si>
    <t>jos käytetään taulukkoarvoa 2.8 kgtot N/m3, ei toimi</t>
  </si>
  <si>
    <t>Erityskuutiot + vesilisä</t>
  </si>
  <si>
    <t>pesuvesiä vuodessa</t>
  </si>
  <si>
    <t>on kyllä toosi pieni luku</t>
  </si>
  <si>
    <t>Lietteen N pitoisuus</t>
  </si>
  <si>
    <t>kg tot N / m3</t>
  </si>
  <si>
    <t>ÄLÄ SIIRRÄ ALLAOLEVIA, SISÄLTÄÄ LOGIIKASTA POIKETEN JATKOLASKENTAA</t>
  </si>
  <si>
    <t>tämä vakioitu normihieon mukaiseksi, Eipä muuten käytösä</t>
  </si>
  <si>
    <t>LyVa, MAA146, kv</t>
  </si>
  <si>
    <t>LyVa, MAA146, nurmi</t>
  </si>
  <si>
    <t>LyVa, MAA146, matala valk</t>
  </si>
  <si>
    <t>LyVa, MAA146, normivalk</t>
  </si>
  <si>
    <t>LS meansissa karkearehujen keskiarvo 0.2 / 0.8 suhteella</t>
  </si>
  <si>
    <t>Täysrehu, viljaseos sisältää kaiken</t>
  </si>
  <si>
    <t>P ja K taulukkoarvoilla</t>
  </si>
  <si>
    <t>Täysrehu, K arvattu</t>
  </si>
  <si>
    <r>
      <rPr>
        <b/>
        <sz val="11"/>
        <color theme="1"/>
        <rFont val="Calibri"/>
        <family val="2"/>
        <scheme val="minor"/>
      </rPr>
      <t xml:space="preserve">Suomen </t>
    </r>
    <r>
      <rPr>
        <sz val="11"/>
        <color theme="1"/>
        <rFont val="Calibri"/>
        <family val="2"/>
        <scheme val="minor"/>
      </rPr>
      <t>koko alaa kohti laskettuna, uudistus mukana. Pohjois-Suomessa 1 kg N ja Etelä-Suomessa 3 kg /N (Syke 2006)</t>
    </r>
  </si>
  <si>
    <t>Kokoviljan heikompaa sulavuutta ei tässä nyt huomioida</t>
  </si>
  <si>
    <t>kokovilja parantaa lukua</t>
  </si>
  <si>
    <t>Raporttiin kootut taulukkotiedot, ei sisällä laskentaa</t>
  </si>
  <si>
    <t>Matala valk</t>
  </si>
  <si>
    <t>Allaolevassa taulukossa nurmen kasvuluokka 0.8</t>
  </si>
  <si>
    <t>kokoviljaa joutokarjalle 50 % karkearehusta kokoviljatapauksessa</t>
  </si>
  <si>
    <t>Nurmiruokinnassa ei kokoviljaa ollenkaan</t>
  </si>
  <si>
    <t>Narutesti 34.9</t>
  </si>
  <si>
    <t xml:space="preserve">Narutesti </t>
  </si>
  <si>
    <t>Lietesäiliöön kuiva-aineta</t>
  </si>
  <si>
    <t>sontaa karja</t>
  </si>
  <si>
    <t>virtsaa karja</t>
  </si>
  <si>
    <t>tn/kalenterivuosi</t>
  </si>
  <si>
    <t>yht tuore / kuiva-aineena, tn</t>
  </si>
  <si>
    <t>sonta, umpparit</t>
  </si>
  <si>
    <t>sonta Hiehot &gt;60 pv</t>
  </si>
  <si>
    <t>kg vasurehua</t>
  </si>
  <si>
    <t>sonnan osuus</t>
  </si>
  <si>
    <t>sonna ka</t>
  </si>
  <si>
    <t>kg tuoresontaa</t>
  </si>
  <si>
    <t>sonta ok</t>
  </si>
  <si>
    <t>virtsa ei</t>
  </si>
  <si>
    <t>JuottoRehua kgka/2 kk</t>
  </si>
  <si>
    <t xml:space="preserve">tn tuore, Narutestistä kopsattu vakiona 0.4 kg </t>
  </si>
  <si>
    <t>vasurivi</t>
  </si>
  <si>
    <t>Lietteen kuiva-aine</t>
  </si>
  <si>
    <t>Nurmi/apilastrategia</t>
  </si>
  <si>
    <t>kg tot N/lehmä</t>
  </si>
  <si>
    <t>Virtsan N/maitokilo</t>
  </si>
  <si>
    <t>g/maitokilo</t>
  </si>
  <si>
    <t>Virtsan N, g per ekm kilo</t>
  </si>
  <si>
    <t>Virtsan N, g  per maitokilo</t>
  </si>
  <si>
    <t>maito vuosituotos</t>
  </si>
  <si>
    <t>nurmiruokinta</t>
  </si>
  <si>
    <t>Tulokset LyVan ruokintakokeesta</t>
  </si>
  <si>
    <t>Typen tilataso hyväksikäyttö</t>
  </si>
  <si>
    <t>N hyv käytt maid</t>
  </si>
  <si>
    <t>tilataso</t>
  </si>
  <si>
    <t>lannoite N</t>
  </si>
  <si>
    <t>N-lann</t>
  </si>
  <si>
    <t>Ostorehut lehmille</t>
  </si>
  <si>
    <t>Tämä puuttuu. Eli malli ei sisällä täysrehujen käyttöä</t>
  </si>
  <si>
    <t>Sama perustäysrehu kuin matalavalkuaisversiossa, mutt a20 % korvattu rypsirouheella</t>
  </si>
  <si>
    <t>Malli ei taivu täysrehun käyttöön joten valkuaistaso täytyy säätää rouheella</t>
  </si>
  <si>
    <t>dieetin Rvpit</t>
  </si>
  <si>
    <t>Normi valk</t>
  </si>
  <si>
    <t>lietteessä N</t>
  </si>
  <si>
    <t>per 100 lehmän karja</t>
  </si>
  <si>
    <t>rypsiä, kg N</t>
  </si>
  <si>
    <t>kg N /lehmä. Lietteen typelle pitäisi tehdä hyväksikäyttökettoin. Vähintään 10 % ammoniakkitappio ja 10 % tehokkuushäviö. Tämä pitäisi kytkeä nurmen satotasoon</t>
  </si>
  <si>
    <t>tappio lietteen käytöstä</t>
  </si>
  <si>
    <t>Lietteenkäytön tappio</t>
  </si>
  <si>
    <t>lietteen liuk N</t>
  </si>
  <si>
    <t>josta hukkaantuu</t>
  </si>
  <si>
    <t>oletettua vähemmän nurmelle</t>
  </si>
  <si>
    <t>kg N/nurmihehtaari</t>
  </si>
  <si>
    <t>Todellinen lann taso</t>
  </si>
  <si>
    <t>kokoviljaa ei ollenkaan, kellekkään</t>
  </si>
  <si>
    <t>lietteen liu N</t>
  </si>
  <si>
    <t>N hyv</t>
  </si>
  <si>
    <t>Nurmi + 40 % kokovilja</t>
  </si>
  <si>
    <t>Total NH3 tappio</t>
  </si>
  <si>
    <t>NH3tot, sijoituslevitys</t>
  </si>
  <si>
    <t>osuus, ei sis lietteen levitystä</t>
  </si>
  <si>
    <t>N hyvkäyttö, navettataso</t>
  </si>
  <si>
    <t>kg /lehmä, ei sisällä lietteen levitystappioita</t>
  </si>
  <si>
    <t>kg/lehmä, sijoituslevitys</t>
  </si>
  <si>
    <t>kg/lehmä, hajalevitys</t>
  </si>
  <si>
    <t>NH3tot, hajalevitys</t>
  </si>
  <si>
    <t>kt/v sijoitus</t>
  </si>
  <si>
    <t>kt/v hajalevitys</t>
  </si>
  <si>
    <t>valk ruokintataso</t>
  </si>
  <si>
    <t>Kokoviljan käyttö</t>
  </si>
  <si>
    <t>Suomen ammoniakkipäästöt</t>
  </si>
  <si>
    <t>Lypsykarjan osuus kaikista kotieläinpäästöistä</t>
  </si>
  <si>
    <t>Eläinsuojan osuus kotieläinpäästöistä</t>
  </si>
  <si>
    <t>lietevarasto plus peltolevitys osuus kotiel päästöistä</t>
  </si>
  <si>
    <t>navetoissa vapautuva osuus koko kotiel amm päästöistä</t>
  </si>
  <si>
    <t>navetan päästöt Suomen päästöistä</t>
  </si>
  <si>
    <t>kt</t>
  </si>
  <si>
    <t>Lypsykarjan kokonaisammoniakista navetan osuus</t>
  </si>
  <si>
    <t>lietenavetta, pihatto</t>
  </si>
  <si>
    <t>t</t>
  </si>
  <si>
    <t>Maatalouden amm päästöt 90 % kaikista</t>
  </si>
  <si>
    <t>Grönroos 2014</t>
  </si>
  <si>
    <t>Suomen ammoniakkipäästöt v 2012</t>
  </si>
  <si>
    <t>Lypsylehmien osuus 30 % maatalouden päästöistä</t>
  </si>
  <si>
    <t>lehmää</t>
  </si>
  <si>
    <t>kg amm N/le</t>
  </si>
  <si>
    <t>v 2012 ehkä</t>
  </si>
  <si>
    <t>haja</t>
  </si>
  <si>
    <t>sijoit</t>
  </si>
  <si>
    <t>letku</t>
  </si>
  <si>
    <t>tappio</t>
  </si>
  <si>
    <t>vähennys</t>
  </si>
  <si>
    <t>viileysvähennys</t>
  </si>
  <si>
    <t>Puuttuu tärkein eli ammoniakkia/maitokilo</t>
  </si>
  <si>
    <t>multaus</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</si>
</sst>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0.0"/>
    <numFmt numFmtId="165" formatCode="0.000"/>
    <numFmt numFmtId="166" formatCode="0.0000000"/>
    <numFmt numFmtId="167" formatCode="0.0000000000"/>
  </numFmts>
  <fonts count="23" x14ac:knownFonts="1">
    <font>
      <sz val="11"/>
      <color theme="1"/>
      <name val="Calibri"/>
      <family val="2"/>
      <scheme val="minor"/>
    </font>
    <font>
      <sz val="11"/>
      <color rgb="FFFF0000"/>
      <name val="Calibri"/>
      <family val="2"/>
      <scheme val="minor"/>
    </font>
    <font>
      <b/>
      <sz val="11"/>
      <color theme="1"/>
      <name val="Calibri"/>
      <family val="2"/>
      <scheme val="minor"/>
    </font>
    <font>
      <sz val="9"/>
      <color indexed="81"/>
      <name val="Tahoma"/>
      <family val="2"/>
    </font>
    <font>
      <b/>
      <sz val="9"/>
      <color indexed="81"/>
      <name val="Tahoma"/>
      <family val="2"/>
    </font>
    <font>
      <b/>
      <sz val="11"/>
      <color rgb="FFFF0000"/>
      <name val="Calibri"/>
      <family val="2"/>
      <scheme val="minor"/>
    </font>
    <font>
      <sz val="8"/>
      <color indexed="81"/>
      <name val="Tahoma"/>
      <family val="2"/>
    </font>
    <font>
      <b/>
      <sz val="8"/>
      <color indexed="81"/>
      <name val="Tahoma"/>
      <family val="2"/>
    </font>
    <font>
      <sz val="10"/>
      <color theme="1"/>
      <name val="Calibri"/>
      <family val="2"/>
      <scheme val="minor"/>
    </font>
    <font>
      <b/>
      <sz val="10"/>
      <color theme="1"/>
      <name val="Calibri"/>
      <family val="2"/>
      <scheme val="minor"/>
    </font>
    <font>
      <sz val="11"/>
      <color rgb="FF0070C0"/>
      <name val="Calibri"/>
      <family val="2"/>
      <scheme val="minor"/>
    </font>
    <font>
      <i/>
      <sz val="11"/>
      <color theme="1"/>
      <name val="Calibri"/>
      <family val="2"/>
      <scheme val="minor"/>
    </font>
    <font>
      <sz val="11"/>
      <color rgb="FF222222"/>
      <name val="Arial"/>
      <family val="2"/>
    </font>
    <font>
      <sz val="11"/>
      <name val="Calibri"/>
      <family val="2"/>
      <scheme val="minor"/>
    </font>
    <font>
      <sz val="9"/>
      <color theme="1"/>
      <name val="Calibri"/>
      <family val="2"/>
      <scheme val="minor"/>
    </font>
    <font>
      <sz val="11"/>
      <color rgb="FFC00000"/>
      <name val="Calibri"/>
      <family val="2"/>
      <scheme val="minor"/>
    </font>
    <font>
      <sz val="11"/>
      <color rgb="FF00B050"/>
      <name val="Calibri"/>
      <family val="2"/>
      <scheme val="minor"/>
    </font>
    <font>
      <sz val="11"/>
      <color rgb="FF7030A0"/>
      <name val="Calibri"/>
      <family val="2"/>
      <scheme val="minor"/>
    </font>
    <font>
      <sz val="11"/>
      <color theme="1"/>
      <name val="Times New Roman"/>
      <family val="1"/>
    </font>
    <font>
      <vertAlign val="subscript"/>
      <sz val="11"/>
      <color theme="1"/>
      <name val="Times New Roman"/>
      <family val="1"/>
    </font>
    <font>
      <b/>
      <sz val="12"/>
      <color rgb="FFFF0000"/>
      <name val="Calibri"/>
      <family val="2"/>
      <scheme val="minor"/>
    </font>
    <font>
      <i/>
      <sz val="10"/>
      <color theme="1"/>
      <name val="Calibri"/>
      <family val="2"/>
      <scheme val="minor"/>
    </font>
    <font>
      <i/>
      <sz val="11"/>
      <color rgb="FFFF0000"/>
      <name val="Calibri"/>
      <family val="2"/>
      <scheme val="minor"/>
    </font>
  </fonts>
  <fills count="8">
    <fill>
      <patternFill patternType="none"/>
    </fill>
    <fill>
      <patternFill patternType="gray125"/>
    </fill>
    <fill>
      <patternFill patternType="solid">
        <fgColor rgb="FF92D050"/>
        <bgColor indexed="64"/>
      </patternFill>
    </fill>
    <fill>
      <patternFill patternType="solid">
        <fgColor theme="0"/>
        <bgColor indexed="64"/>
      </patternFill>
    </fill>
    <fill>
      <patternFill patternType="solid">
        <fgColor rgb="FF00B0F0"/>
        <bgColor indexed="64"/>
      </patternFill>
    </fill>
    <fill>
      <patternFill patternType="solid">
        <fgColor rgb="FF00B050"/>
        <bgColor indexed="64"/>
      </patternFill>
    </fill>
    <fill>
      <patternFill patternType="solid">
        <fgColor rgb="FFFFFF00"/>
        <bgColor indexed="64"/>
      </patternFill>
    </fill>
    <fill>
      <patternFill patternType="solid">
        <fgColor rgb="FFABDB77"/>
        <bgColor indexed="64"/>
      </patternFill>
    </fill>
  </fills>
  <borders count="3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style="double">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bottom style="double">
        <color indexed="64"/>
      </bottom>
      <diagonal/>
    </border>
  </borders>
  <cellStyleXfs count="1">
    <xf numFmtId="0" fontId="0" fillId="0" borderId="0"/>
  </cellStyleXfs>
  <cellXfs count="330">
    <xf numFmtId="0" fontId="0" fillId="0" borderId="0" xfId="0"/>
    <xf numFmtId="164" fontId="0" fillId="0" borderId="0" xfId="0" applyNumberFormat="1"/>
    <xf numFmtId="0" fontId="1" fillId="0" borderId="0" xfId="0" applyFont="1"/>
    <xf numFmtId="1" fontId="0" fillId="0" borderId="0" xfId="0" applyNumberFormat="1"/>
    <xf numFmtId="0" fontId="0" fillId="0" borderId="1" xfId="0" applyBorder="1"/>
    <xf numFmtId="0" fontId="0" fillId="0" borderId="3" xfId="0" applyBorder="1"/>
    <xf numFmtId="0" fontId="0" fillId="0" borderId="4" xfId="0" applyBorder="1"/>
    <xf numFmtId="0" fontId="0" fillId="0" borderId="0" xfId="0" applyBorder="1"/>
    <xf numFmtId="0" fontId="0" fillId="0" borderId="5" xfId="0" applyBorder="1"/>
    <xf numFmtId="0" fontId="0" fillId="0" borderId="6" xfId="0" applyBorder="1"/>
    <xf numFmtId="164" fontId="0" fillId="0" borderId="7" xfId="0" applyNumberFormat="1" applyBorder="1"/>
    <xf numFmtId="0" fontId="0" fillId="0" borderId="8" xfId="0" applyBorder="1"/>
    <xf numFmtId="0" fontId="2" fillId="0" borderId="0" xfId="0" applyFont="1"/>
    <xf numFmtId="1" fontId="0" fillId="0" borderId="0" xfId="0" applyNumberFormat="1" applyAlignment="1">
      <alignment horizontal="center"/>
    </xf>
    <xf numFmtId="0" fontId="0" fillId="0" borderId="0" xfId="0" applyAlignment="1">
      <alignment horizontal="center"/>
    </xf>
    <xf numFmtId="0" fontId="0" fillId="0" borderId="7" xfId="0" applyBorder="1"/>
    <xf numFmtId="0" fontId="2" fillId="0" borderId="7" xfId="0" applyFont="1" applyBorder="1"/>
    <xf numFmtId="1" fontId="0" fillId="0" borderId="7" xfId="0" applyNumberFormat="1" applyBorder="1" applyAlignment="1">
      <alignment horizontal="center"/>
    </xf>
    <xf numFmtId="0" fontId="0" fillId="0" borderId="7" xfId="0" applyBorder="1" applyAlignment="1">
      <alignment horizontal="center"/>
    </xf>
    <xf numFmtId="1" fontId="0" fillId="0" borderId="7" xfId="0" applyNumberFormat="1" applyBorder="1"/>
    <xf numFmtId="0" fontId="0" fillId="0" borderId="0" xfId="0" applyAlignment="1">
      <alignment horizontal="right"/>
    </xf>
    <xf numFmtId="1" fontId="2" fillId="0" borderId="0" xfId="0" applyNumberFormat="1" applyFont="1"/>
    <xf numFmtId="0" fontId="0" fillId="2" borderId="0" xfId="0" applyFill="1"/>
    <xf numFmtId="1" fontId="1" fillId="0" borderId="0" xfId="0" applyNumberFormat="1" applyFont="1"/>
    <xf numFmtId="1" fontId="5" fillId="0" borderId="0" xfId="0" applyNumberFormat="1" applyFont="1"/>
    <xf numFmtId="0" fontId="0" fillId="0" borderId="0" xfId="0" quotePrefix="1"/>
    <xf numFmtId="1" fontId="0" fillId="0" borderId="0" xfId="0" applyNumberFormat="1" applyBorder="1"/>
    <xf numFmtId="164" fontId="0" fillId="3" borderId="0" xfId="0" applyNumberFormat="1" applyFill="1" applyBorder="1"/>
    <xf numFmtId="2" fontId="0" fillId="3" borderId="0" xfId="0" applyNumberFormat="1" applyFill="1" applyBorder="1"/>
    <xf numFmtId="0" fontId="0" fillId="0" borderId="4" xfId="0" applyFill="1" applyBorder="1"/>
    <xf numFmtId="0" fontId="0" fillId="0" borderId="5" xfId="0" applyFill="1" applyBorder="1"/>
    <xf numFmtId="0" fontId="8" fillId="0" borderId="0" xfId="0" applyFont="1"/>
    <xf numFmtId="0" fontId="9" fillId="0" borderId="0" xfId="0" applyFont="1"/>
    <xf numFmtId="2" fontId="0" fillId="0" borderId="0" xfId="0" applyNumberFormat="1" applyAlignment="1">
      <alignment horizontal="center"/>
    </xf>
    <xf numFmtId="164" fontId="0" fillId="0" borderId="7" xfId="0" applyNumberFormat="1" applyBorder="1" applyAlignment="1">
      <alignment horizontal="center"/>
    </xf>
    <xf numFmtId="164" fontId="0" fillId="0" borderId="0" xfId="0" applyNumberFormat="1" applyAlignment="1">
      <alignment horizontal="center"/>
    </xf>
    <xf numFmtId="2" fontId="2" fillId="0" borderId="0" xfId="0" applyNumberFormat="1" applyFont="1"/>
    <xf numFmtId="0" fontId="10" fillId="0" borderId="0" xfId="0" applyFont="1"/>
    <xf numFmtId="0" fontId="0" fillId="3" borderId="0" xfId="0" applyFill="1" applyBorder="1"/>
    <xf numFmtId="1" fontId="0" fillId="3" borderId="0" xfId="0" applyNumberFormat="1" applyFill="1" applyBorder="1"/>
    <xf numFmtId="2" fontId="0" fillId="3" borderId="0" xfId="0" applyNumberFormat="1" applyFill="1"/>
    <xf numFmtId="0" fontId="0" fillId="3" borderId="0" xfId="0" applyFill="1"/>
    <xf numFmtId="164" fontId="0" fillId="3" borderId="7" xfId="0" applyNumberFormat="1" applyFill="1" applyBorder="1"/>
    <xf numFmtId="1" fontId="10" fillId="0" borderId="0" xfId="0" applyNumberFormat="1" applyFont="1" applyAlignment="1">
      <alignment horizontal="center"/>
    </xf>
    <xf numFmtId="1" fontId="0" fillId="0" borderId="0" xfId="0" quotePrefix="1" applyNumberFormat="1" applyAlignment="1">
      <alignment horizontal="center"/>
    </xf>
    <xf numFmtId="164" fontId="10" fillId="0" borderId="0" xfId="0" applyNumberFormat="1" applyFont="1" applyAlignment="1">
      <alignment horizontal="center"/>
    </xf>
    <xf numFmtId="2" fontId="10" fillId="0" borderId="0" xfId="0" applyNumberFormat="1" applyFont="1" applyAlignment="1">
      <alignment horizontal="center"/>
    </xf>
    <xf numFmtId="164" fontId="0" fillId="0" borderId="0" xfId="0" quotePrefix="1" applyNumberFormat="1"/>
    <xf numFmtId="164" fontId="0" fillId="0" borderId="0" xfId="0" applyNumberFormat="1" applyFont="1"/>
    <xf numFmtId="2" fontId="0" fillId="0" borderId="0" xfId="0" applyNumberFormat="1"/>
    <xf numFmtId="0" fontId="11" fillId="0" borderId="0" xfId="0" applyFont="1"/>
    <xf numFmtId="0" fontId="0" fillId="0" borderId="0" xfId="0" applyFont="1"/>
    <xf numFmtId="2" fontId="0" fillId="3" borderId="0" xfId="0" applyNumberFormat="1" applyFill="1" applyAlignment="1">
      <alignment horizontal="center"/>
    </xf>
    <xf numFmtId="1" fontId="11" fillId="0" borderId="0" xfId="0" applyNumberFormat="1" applyFont="1"/>
    <xf numFmtId="1" fontId="0" fillId="0" borderId="0" xfId="0" applyNumberFormat="1" applyFill="1"/>
    <xf numFmtId="1" fontId="0" fillId="0" borderId="7" xfId="0" applyNumberFormat="1" applyFill="1" applyBorder="1"/>
    <xf numFmtId="0" fontId="0" fillId="0" borderId="0" xfId="0" applyFill="1"/>
    <xf numFmtId="0" fontId="0" fillId="0" borderId="7" xfId="0" applyFill="1" applyBorder="1"/>
    <xf numFmtId="164" fontId="0" fillId="2" borderId="0" xfId="0" applyNumberFormat="1" applyFill="1"/>
    <xf numFmtId="0" fontId="0" fillId="0" borderId="1" xfId="0" applyFill="1" applyBorder="1"/>
    <xf numFmtId="1" fontId="0" fillId="0" borderId="5" xfId="0" applyNumberFormat="1" applyBorder="1"/>
    <xf numFmtId="0" fontId="0" fillId="0" borderId="6" xfId="0" applyFill="1" applyBorder="1"/>
    <xf numFmtId="1" fontId="0" fillId="0" borderId="8" xfId="0" applyNumberFormat="1" applyBorder="1"/>
    <xf numFmtId="1" fontId="0" fillId="0" borderId="5" xfId="0" quotePrefix="1" applyNumberFormat="1" applyBorder="1"/>
    <xf numFmtId="0" fontId="8" fillId="0" borderId="0" xfId="0" applyFont="1" applyAlignment="1">
      <alignment horizontal="right"/>
    </xf>
    <xf numFmtId="164" fontId="0" fillId="0" borderId="3" xfId="0" applyNumberFormat="1" applyBorder="1"/>
    <xf numFmtId="2" fontId="0" fillId="0" borderId="0" xfId="0" quotePrefix="1" applyNumberFormat="1"/>
    <xf numFmtId="0" fontId="0" fillId="0" borderId="2" xfId="0" applyBorder="1"/>
    <xf numFmtId="0" fontId="5" fillId="0" borderId="0" xfId="0" applyFont="1"/>
    <xf numFmtId="0" fontId="0" fillId="3" borderId="7" xfId="0" applyFill="1" applyBorder="1"/>
    <xf numFmtId="0" fontId="0" fillId="2" borderId="0" xfId="0" applyFont="1" applyFill="1"/>
    <xf numFmtId="0" fontId="0" fillId="2" borderId="1" xfId="0" applyFont="1" applyFill="1" applyBorder="1"/>
    <xf numFmtId="0" fontId="0" fillId="2" borderId="3" xfId="0" applyFont="1" applyFill="1" applyBorder="1"/>
    <xf numFmtId="0" fontId="0" fillId="2" borderId="4" xfId="0" applyFont="1" applyFill="1" applyBorder="1"/>
    <xf numFmtId="0" fontId="0" fillId="2" borderId="5" xfId="0" applyFont="1" applyFill="1" applyBorder="1"/>
    <xf numFmtId="0" fontId="0" fillId="2" borderId="6" xfId="0" applyFont="1" applyFill="1" applyBorder="1"/>
    <xf numFmtId="0" fontId="0" fillId="2" borderId="8" xfId="0" applyFont="1" applyFill="1" applyBorder="1"/>
    <xf numFmtId="1" fontId="0" fillId="3" borderId="2" xfId="0" applyNumberFormat="1" applyFill="1" applyBorder="1"/>
    <xf numFmtId="1" fontId="0" fillId="3" borderId="7" xfId="0" applyNumberFormat="1" applyFill="1" applyBorder="1"/>
    <xf numFmtId="1" fontId="0" fillId="4" borderId="7" xfId="0" applyNumberFormat="1" applyFill="1" applyBorder="1" applyAlignment="1">
      <alignment horizontal="center"/>
    </xf>
    <xf numFmtId="0" fontId="2" fillId="4" borderId="0" xfId="0" applyFont="1" applyFill="1"/>
    <xf numFmtId="0" fontId="0" fillId="4" borderId="0" xfId="0" applyFill="1"/>
    <xf numFmtId="0" fontId="0" fillId="4" borderId="7" xfId="0" applyFill="1" applyBorder="1"/>
    <xf numFmtId="2" fontId="0" fillId="0" borderId="7" xfId="0" applyNumberFormat="1" applyBorder="1"/>
    <xf numFmtId="0" fontId="12" fillId="0" borderId="0" xfId="0" applyFont="1"/>
    <xf numFmtId="0" fontId="0" fillId="0" borderId="0" xfId="0" applyFill="1" applyBorder="1"/>
    <xf numFmtId="0" fontId="0" fillId="0" borderId="0" xfId="0" applyAlignment="1">
      <alignment vertical="center"/>
    </xf>
    <xf numFmtId="1" fontId="0" fillId="3" borderId="0" xfId="0" applyNumberFormat="1" applyFill="1"/>
    <xf numFmtId="1" fontId="1" fillId="0" borderId="0" xfId="0" applyNumberFormat="1" applyFont="1" applyAlignment="1">
      <alignment horizontal="center"/>
    </xf>
    <xf numFmtId="0" fontId="2" fillId="5" borderId="0" xfId="0" applyFont="1" applyFill="1"/>
    <xf numFmtId="0" fontId="2" fillId="0" borderId="8" xfId="0" applyFont="1" applyBorder="1"/>
    <xf numFmtId="164" fontId="1" fillId="0" borderId="0" xfId="0" quotePrefix="1" applyNumberFormat="1" applyFont="1" applyAlignment="1">
      <alignment vertical="center"/>
    </xf>
    <xf numFmtId="0" fontId="0" fillId="5" borderId="0" xfId="0" applyFill="1"/>
    <xf numFmtId="2" fontId="0" fillId="4" borderId="0" xfId="0" applyNumberFormat="1" applyFill="1"/>
    <xf numFmtId="1" fontId="0" fillId="0" borderId="4" xfId="0" applyNumberFormat="1" applyBorder="1"/>
    <xf numFmtId="1" fontId="2" fillId="0" borderId="4" xfId="0" applyNumberFormat="1" applyFont="1" applyBorder="1"/>
    <xf numFmtId="1" fontId="2" fillId="0" borderId="5" xfId="0" applyNumberFormat="1" applyFont="1" applyBorder="1"/>
    <xf numFmtId="0" fontId="0" fillId="0" borderId="4" xfId="0" applyBorder="1" applyAlignment="1">
      <alignment horizontal="center"/>
    </xf>
    <xf numFmtId="0" fontId="0" fillId="0" borderId="5" xfId="0" applyBorder="1" applyAlignment="1">
      <alignment horizontal="center"/>
    </xf>
    <xf numFmtId="1" fontId="1" fillId="0" borderId="4" xfId="0" applyNumberFormat="1" applyFont="1" applyBorder="1" applyAlignment="1">
      <alignment horizontal="center"/>
    </xf>
    <xf numFmtId="1" fontId="1" fillId="0" borderId="5" xfId="0" applyNumberFormat="1" applyFont="1" applyBorder="1" applyAlignment="1">
      <alignment horizontal="center"/>
    </xf>
    <xf numFmtId="1" fontId="0" fillId="0" borderId="4" xfId="0" applyNumberFormat="1" applyBorder="1" applyAlignment="1">
      <alignment horizontal="center"/>
    </xf>
    <xf numFmtId="1" fontId="0" fillId="0" borderId="5" xfId="0" applyNumberFormat="1" applyBorder="1" applyAlignment="1">
      <alignment horizontal="center"/>
    </xf>
    <xf numFmtId="1" fontId="0" fillId="3" borderId="0" xfId="0" applyNumberFormat="1" applyFont="1" applyFill="1" applyBorder="1"/>
    <xf numFmtId="1" fontId="0" fillId="0" borderId="0" xfId="0" applyNumberFormat="1" applyFont="1" applyFill="1"/>
    <xf numFmtId="1" fontId="0" fillId="0" borderId="4" xfId="0" applyNumberFormat="1" applyFont="1" applyBorder="1"/>
    <xf numFmtId="1" fontId="0" fillId="0" borderId="5" xfId="0" applyNumberFormat="1" applyFont="1" applyBorder="1"/>
    <xf numFmtId="164" fontId="0" fillId="3" borderId="0" xfId="0" applyNumberFormat="1" applyFill="1"/>
    <xf numFmtId="164" fontId="1" fillId="0" borderId="0" xfId="0" applyNumberFormat="1" applyFont="1"/>
    <xf numFmtId="0" fontId="13" fillId="0" borderId="0" xfId="0" applyFont="1"/>
    <xf numFmtId="0" fontId="2" fillId="3" borderId="0" xfId="0" applyFont="1" applyFill="1"/>
    <xf numFmtId="0" fontId="0" fillId="0" borderId="0" xfId="0" quotePrefix="1" applyAlignment="1">
      <alignment horizontal="left" wrapText="1"/>
    </xf>
    <xf numFmtId="0" fontId="0" fillId="2" borderId="2" xfId="0" applyFill="1" applyBorder="1"/>
    <xf numFmtId="0" fontId="0" fillId="2" borderId="0" xfId="0" applyFill="1" applyBorder="1"/>
    <xf numFmtId="0" fontId="0" fillId="2" borderId="7" xfId="0" applyFill="1" applyBorder="1"/>
    <xf numFmtId="1" fontId="0" fillId="0" borderId="0" xfId="0" applyNumberFormat="1" applyFill="1" applyBorder="1"/>
    <xf numFmtId="0" fontId="13" fillId="3" borderId="0" xfId="0" applyFont="1" applyFill="1"/>
    <xf numFmtId="0" fontId="0" fillId="0" borderId="0" xfId="0" applyAlignment="1">
      <alignment horizontal="center"/>
    </xf>
    <xf numFmtId="0" fontId="0" fillId="0" borderId="7" xfId="0" applyBorder="1" applyAlignment="1">
      <alignment horizontal="center"/>
    </xf>
    <xf numFmtId="2" fontId="0" fillId="0" borderId="7" xfId="0" applyNumberFormat="1" applyBorder="1" applyAlignment="1">
      <alignment horizontal="center"/>
    </xf>
    <xf numFmtId="165" fontId="0" fillId="0" borderId="0" xfId="0" applyNumberFormat="1"/>
    <xf numFmtId="164" fontId="0" fillId="0" borderId="2" xfId="0" applyNumberFormat="1" applyBorder="1" applyAlignment="1">
      <alignment horizontal="center"/>
    </xf>
    <xf numFmtId="164" fontId="0" fillId="0" borderId="0" xfId="0" applyNumberFormat="1" applyBorder="1" applyAlignment="1">
      <alignment horizontal="center"/>
    </xf>
    <xf numFmtId="2" fontId="11" fillId="0" borderId="2" xfId="0" applyNumberFormat="1" applyFont="1" applyBorder="1" applyAlignment="1">
      <alignment horizontal="center"/>
    </xf>
    <xf numFmtId="2" fontId="11" fillId="0" borderId="3" xfId="0" applyNumberFormat="1" applyFont="1" applyBorder="1" applyAlignment="1">
      <alignment horizontal="center"/>
    </xf>
    <xf numFmtId="2" fontId="11" fillId="0" borderId="0" xfId="0" applyNumberFormat="1" applyFont="1" applyBorder="1" applyAlignment="1">
      <alignment horizontal="center"/>
    </xf>
    <xf numFmtId="2" fontId="11" fillId="0" borderId="5" xfId="0" applyNumberFormat="1" applyFont="1" applyBorder="1" applyAlignment="1">
      <alignment horizontal="center"/>
    </xf>
    <xf numFmtId="0" fontId="11" fillId="0" borderId="5" xfId="0" applyFont="1" applyBorder="1"/>
    <xf numFmtId="2" fontId="11" fillId="0" borderId="7" xfId="0" applyNumberFormat="1" applyFont="1" applyBorder="1" applyAlignment="1">
      <alignment horizontal="center"/>
    </xf>
    <xf numFmtId="0" fontId="11" fillId="0" borderId="8" xfId="0" applyFont="1" applyBorder="1"/>
    <xf numFmtId="0" fontId="11" fillId="0" borderId="0" xfId="0" applyFont="1" applyAlignment="1">
      <alignment horizontal="center"/>
    </xf>
    <xf numFmtId="2" fontId="11" fillId="0" borderId="0" xfId="0" applyNumberFormat="1" applyFont="1"/>
    <xf numFmtId="1" fontId="0" fillId="0" borderId="5" xfId="0" applyNumberFormat="1" applyFont="1" applyBorder="1" applyAlignment="1">
      <alignment horizontal="center"/>
    </xf>
    <xf numFmtId="1" fontId="14" fillId="0" borderId="0" xfId="0" applyNumberFormat="1" applyFont="1" applyAlignment="1">
      <alignment horizontal="center"/>
    </xf>
    <xf numFmtId="0" fontId="14" fillId="0" borderId="0" xfId="0" applyFont="1" applyAlignment="1">
      <alignment horizontal="right"/>
    </xf>
    <xf numFmtId="1" fontId="17" fillId="4" borderId="0" xfId="0" applyNumberFormat="1" applyFont="1" applyFill="1" applyAlignment="1">
      <alignment horizontal="center"/>
    </xf>
    <xf numFmtId="1" fontId="17" fillId="0" borderId="8" xfId="0" applyNumberFormat="1" applyFont="1" applyBorder="1" applyAlignment="1">
      <alignment horizontal="right"/>
    </xf>
    <xf numFmtId="0" fontId="17" fillId="0" borderId="0" xfId="0" applyFont="1"/>
    <xf numFmtId="0" fontId="16" fillId="0" borderId="0" xfId="0" applyFont="1"/>
    <xf numFmtId="164" fontId="0" fillId="0" borderId="2" xfId="0" applyNumberFormat="1" applyFill="1" applyBorder="1"/>
    <xf numFmtId="0" fontId="0" fillId="0" borderId="10" xfId="0" applyBorder="1"/>
    <xf numFmtId="0" fontId="0" fillId="0" borderId="11" xfId="0" applyBorder="1"/>
    <xf numFmtId="164" fontId="0" fillId="0" borderId="11" xfId="0" applyNumberFormat="1" applyBorder="1"/>
    <xf numFmtId="164" fontId="0" fillId="0" borderId="12" xfId="0" applyNumberFormat="1" applyBorder="1"/>
    <xf numFmtId="1" fontId="0" fillId="0" borderId="12" xfId="0" applyNumberFormat="1" applyFill="1" applyBorder="1"/>
    <xf numFmtId="0" fontId="18" fillId="0" borderId="0" xfId="0" applyFont="1"/>
    <xf numFmtId="1" fontId="15" fillId="0" borderId="0" xfId="0" applyNumberFormat="1" applyFont="1"/>
    <xf numFmtId="1" fontId="16" fillId="0" borderId="0" xfId="0" applyNumberFormat="1" applyFont="1"/>
    <xf numFmtId="1" fontId="20" fillId="0" borderId="0" xfId="0" applyNumberFormat="1" applyFont="1"/>
    <xf numFmtId="0" fontId="0" fillId="6" borderId="7" xfId="0" applyFill="1" applyBorder="1"/>
    <xf numFmtId="0" fontId="0" fillId="0" borderId="0" xfId="0" applyAlignment="1">
      <alignment horizontal="center"/>
    </xf>
    <xf numFmtId="0" fontId="0" fillId="0" borderId="0" xfId="0" applyAlignment="1">
      <alignment horizontal="center"/>
    </xf>
    <xf numFmtId="0" fontId="0" fillId="0" borderId="10" xfId="0" applyBorder="1" applyAlignment="1">
      <alignment horizontal="center"/>
    </xf>
    <xf numFmtId="164" fontId="0" fillId="0" borderId="11" xfId="0" applyNumberFormat="1" applyBorder="1" applyAlignment="1">
      <alignment horizontal="center"/>
    </xf>
    <xf numFmtId="164" fontId="0" fillId="0" borderId="12" xfId="0" applyNumberFormat="1" applyBorder="1" applyAlignment="1">
      <alignment horizontal="center"/>
    </xf>
    <xf numFmtId="164" fontId="2" fillId="0" borderId="0" xfId="0" applyNumberFormat="1" applyFont="1" applyAlignment="1">
      <alignment horizontal="center"/>
    </xf>
    <xf numFmtId="164" fontId="2" fillId="0" borderId="13" xfId="0" applyNumberFormat="1" applyFont="1" applyBorder="1" applyAlignment="1">
      <alignment horizontal="center"/>
    </xf>
    <xf numFmtId="164" fontId="11" fillId="0" borderId="0" xfId="0" applyNumberFormat="1" applyFont="1"/>
    <xf numFmtId="1" fontId="11" fillId="0" borderId="4" xfId="0" applyNumberFormat="1" applyFont="1" applyBorder="1" applyAlignment="1">
      <alignment horizontal="center"/>
    </xf>
    <xf numFmtId="1" fontId="11" fillId="0" borderId="5" xfId="0" applyNumberFormat="1" applyFont="1" applyBorder="1" applyAlignment="1">
      <alignment horizontal="center"/>
    </xf>
    <xf numFmtId="1" fontId="0" fillId="0" borderId="4" xfId="0" applyNumberFormat="1" applyFont="1" applyBorder="1" applyAlignment="1">
      <alignment horizontal="center"/>
    </xf>
    <xf numFmtId="1" fontId="0" fillId="0" borderId="0" xfId="0" applyNumberFormat="1" applyBorder="1" applyAlignment="1">
      <alignment horizontal="center"/>
    </xf>
    <xf numFmtId="1" fontId="0" fillId="0" borderId="6" xfId="0" applyNumberFormat="1" applyBorder="1" applyAlignment="1">
      <alignment horizontal="center"/>
    </xf>
    <xf numFmtId="1" fontId="0" fillId="0" borderId="8" xfId="0" applyNumberFormat="1" applyBorder="1" applyAlignment="1">
      <alignment horizontal="center"/>
    </xf>
    <xf numFmtId="1" fontId="0" fillId="0" borderId="9" xfId="0" applyNumberFormat="1" applyBorder="1" applyAlignment="1">
      <alignment horizontal="center"/>
    </xf>
    <xf numFmtId="1" fontId="17" fillId="0" borderId="5" xfId="0" applyNumberFormat="1" applyFont="1" applyBorder="1" applyAlignment="1">
      <alignment horizontal="center"/>
    </xf>
    <xf numFmtId="1" fontId="21" fillId="0" borderId="4" xfId="0" applyNumberFormat="1" applyFont="1" applyBorder="1" applyAlignment="1">
      <alignment horizontal="center"/>
    </xf>
    <xf numFmtId="1" fontId="21" fillId="0" borderId="5" xfId="0" applyNumberFormat="1" applyFont="1" applyBorder="1" applyAlignment="1">
      <alignment horizontal="center"/>
    </xf>
    <xf numFmtId="0" fontId="21" fillId="0" borderId="0" xfId="0" applyFont="1"/>
    <xf numFmtId="1" fontId="17" fillId="0" borderId="0" xfId="0" applyNumberFormat="1" applyFont="1" applyAlignment="1">
      <alignment horizontal="center"/>
    </xf>
    <xf numFmtId="0" fontId="0" fillId="4" borderId="7" xfId="0" applyFill="1" applyBorder="1" applyAlignment="1">
      <alignment horizontal="center"/>
    </xf>
    <xf numFmtId="164" fontId="0" fillId="0" borderId="0" xfId="0" applyNumberFormat="1" applyBorder="1"/>
    <xf numFmtId="0" fontId="13" fillId="4" borderId="0" xfId="0" applyFont="1" applyFill="1" applyBorder="1"/>
    <xf numFmtId="0" fontId="0" fillId="4" borderId="0" xfId="0" applyFill="1" applyBorder="1"/>
    <xf numFmtId="164" fontId="0" fillId="0" borderId="0" xfId="0" applyNumberFormat="1" applyFill="1" applyAlignment="1">
      <alignment horizontal="center"/>
    </xf>
    <xf numFmtId="0" fontId="11" fillId="0" borderId="0" xfId="0" applyFont="1" applyAlignment="1">
      <alignment horizontal="right"/>
    </xf>
    <xf numFmtId="1" fontId="0" fillId="2" borderId="0" xfId="0" applyNumberFormat="1" applyFill="1"/>
    <xf numFmtId="2" fontId="0" fillId="0" borderId="0" xfId="0" applyNumberFormat="1" applyBorder="1"/>
    <xf numFmtId="0" fontId="0" fillId="0" borderId="0" xfId="0" applyFill="1" applyBorder="1" applyAlignment="1">
      <alignment horizontal="right"/>
    </xf>
    <xf numFmtId="1" fontId="0" fillId="0" borderId="2" xfId="0" applyNumberFormat="1" applyBorder="1"/>
    <xf numFmtId="164" fontId="1" fillId="0" borderId="0" xfId="0" applyNumberFormat="1" applyFont="1" applyAlignment="1">
      <alignment horizontal="right"/>
    </xf>
    <xf numFmtId="0" fontId="0" fillId="0" borderId="0" xfId="0" applyAlignment="1">
      <alignment horizontal="center"/>
    </xf>
    <xf numFmtId="1" fontId="2" fillId="5" borderId="0" xfId="0" applyNumberFormat="1" applyFont="1" applyFill="1"/>
    <xf numFmtId="164" fontId="0" fillId="5" borderId="0" xfId="0" applyNumberFormat="1" applyFill="1"/>
    <xf numFmtId="2" fontId="0" fillId="0" borderId="4" xfId="0" quotePrefix="1" applyNumberFormat="1" applyBorder="1" applyAlignment="1">
      <alignment horizontal="center"/>
    </xf>
    <xf numFmtId="1" fontId="0" fillId="0" borderId="5" xfId="0" quotePrefix="1" applyNumberFormat="1" applyBorder="1" applyAlignment="1">
      <alignment horizontal="center"/>
    </xf>
    <xf numFmtId="164" fontId="0" fillId="0" borderId="4" xfId="0" applyNumberFormat="1" applyBorder="1" applyAlignment="1">
      <alignment horizontal="center"/>
    </xf>
    <xf numFmtId="164" fontId="0" fillId="0" borderId="5" xfId="0" applyNumberFormat="1" applyBorder="1" applyAlignment="1">
      <alignment horizontal="center"/>
    </xf>
    <xf numFmtId="164" fontId="0" fillId="0" borderId="6" xfId="0" applyNumberFormat="1" applyBorder="1" applyAlignment="1">
      <alignment horizontal="center"/>
    </xf>
    <xf numFmtId="164" fontId="0" fillId="0" borderId="8" xfId="0" applyNumberFormat="1" applyBorder="1" applyAlignment="1">
      <alignment horizontal="center"/>
    </xf>
    <xf numFmtId="0" fontId="11" fillId="0" borderId="2" xfId="0" applyFont="1" applyBorder="1"/>
    <xf numFmtId="0" fontId="0" fillId="0" borderId="0" xfId="0" applyFont="1" applyBorder="1"/>
    <xf numFmtId="0" fontId="0" fillId="0" borderId="7" xfId="0" applyFont="1" applyBorder="1"/>
    <xf numFmtId="164" fontId="2" fillId="0" borderId="0" xfId="0" applyNumberFormat="1" applyFont="1"/>
    <xf numFmtId="164" fontId="2" fillId="0" borderId="14" xfId="0" applyNumberFormat="1" applyFont="1" applyBorder="1"/>
    <xf numFmtId="0" fontId="1" fillId="3" borderId="2" xfId="0" applyFont="1" applyFill="1" applyBorder="1"/>
    <xf numFmtId="2" fontId="1" fillId="0" borderId="0" xfId="0" applyNumberFormat="1" applyFont="1"/>
    <xf numFmtId="164" fontId="0" fillId="0" borderId="0" xfId="0" quotePrefix="1" applyNumberFormat="1" applyAlignment="1">
      <alignment horizontal="center"/>
    </xf>
    <xf numFmtId="2" fontId="0" fillId="0" borderId="0" xfId="0" applyNumberFormat="1" applyFont="1"/>
    <xf numFmtId="1" fontId="0" fillId="6" borderId="0" xfId="0" applyNumberFormat="1" applyFill="1"/>
    <xf numFmtId="0" fontId="0" fillId="6" borderId="0" xfId="0" applyFill="1"/>
    <xf numFmtId="0" fontId="0" fillId="0" borderId="0" xfId="0" applyAlignment="1">
      <alignment wrapText="1"/>
    </xf>
    <xf numFmtId="0" fontId="14" fillId="0" borderId="0" xfId="0" quotePrefix="1" applyFont="1" applyAlignment="1">
      <alignment horizontal="right"/>
    </xf>
    <xf numFmtId="0" fontId="0" fillId="0" borderId="0" xfId="0" applyAlignment="1">
      <alignment horizontal="center"/>
    </xf>
    <xf numFmtId="0" fontId="0" fillId="0" borderId="0" xfId="0" applyBorder="1" applyAlignment="1">
      <alignment horizontal="center"/>
    </xf>
    <xf numFmtId="0" fontId="0" fillId="0" borderId="0" xfId="0" applyBorder="1" applyAlignment="1">
      <alignment wrapText="1"/>
    </xf>
    <xf numFmtId="0" fontId="0" fillId="0" borderId="5" xfId="0" applyBorder="1" applyAlignment="1">
      <alignment wrapText="1"/>
    </xf>
    <xf numFmtId="164" fontId="0" fillId="0" borderId="0" xfId="0" applyNumberFormat="1" applyAlignment="1">
      <alignment vertical="center"/>
    </xf>
    <xf numFmtId="1" fontId="0" fillId="0" borderId="0" xfId="0" applyNumberFormat="1" applyAlignment="1">
      <alignment vertical="center"/>
    </xf>
    <xf numFmtId="2" fontId="0" fillId="0" borderId="2" xfId="0" applyNumberFormat="1" applyBorder="1" applyAlignment="1">
      <alignment horizontal="center"/>
    </xf>
    <xf numFmtId="2" fontId="0" fillId="0" borderId="0" xfId="0" applyNumberFormat="1" applyBorder="1" applyAlignment="1">
      <alignment horizontal="center"/>
    </xf>
    <xf numFmtId="0" fontId="1" fillId="0" borderId="0" xfId="0" applyFont="1" applyBorder="1"/>
    <xf numFmtId="0" fontId="1" fillId="0" borderId="5" xfId="0" applyFont="1" applyBorder="1"/>
    <xf numFmtId="164" fontId="0" fillId="6" borderId="0" xfId="0" applyNumberFormat="1" applyFill="1"/>
    <xf numFmtId="1" fontId="16" fillId="0" borderId="0" xfId="0" applyNumberFormat="1" applyFont="1" applyAlignment="1">
      <alignment horizontal="center"/>
    </xf>
    <xf numFmtId="0" fontId="1" fillId="0" borderId="7" xfId="0" applyFont="1" applyBorder="1"/>
    <xf numFmtId="1" fontId="1" fillId="0" borderId="7" xfId="0" applyNumberFormat="1" applyFont="1" applyBorder="1" applyAlignment="1">
      <alignment horizontal="center"/>
    </xf>
    <xf numFmtId="0" fontId="0" fillId="0" borderId="2" xfId="0" applyBorder="1" applyAlignment="1">
      <alignment wrapText="1"/>
    </xf>
    <xf numFmtId="0" fontId="0" fillId="0" borderId="3" xfId="0" applyBorder="1" applyAlignment="1">
      <alignment wrapText="1"/>
    </xf>
    <xf numFmtId="1" fontId="0" fillId="0" borderId="13" xfId="0" applyNumberFormat="1" applyBorder="1" applyAlignment="1">
      <alignment horizontal="center"/>
    </xf>
    <xf numFmtId="0" fontId="2" fillId="0" borderId="0" xfId="0" applyFont="1" applyBorder="1"/>
    <xf numFmtId="0" fontId="2" fillId="0" borderId="0" xfId="0" applyFont="1" applyFill="1" applyBorder="1"/>
    <xf numFmtId="164" fontId="2" fillId="0" borderId="0" xfId="0" applyNumberFormat="1" applyFont="1" applyBorder="1"/>
    <xf numFmtId="0" fontId="5" fillId="0" borderId="0" xfId="0" applyFont="1" applyBorder="1"/>
    <xf numFmtId="0" fontId="5" fillId="0" borderId="5" xfId="0" applyFont="1" applyBorder="1"/>
    <xf numFmtId="0" fontId="2" fillId="0" borderId="5" xfId="0" applyFont="1" applyBorder="1"/>
    <xf numFmtId="164" fontId="2" fillId="0" borderId="5" xfId="0" applyNumberFormat="1" applyFont="1" applyBorder="1"/>
    <xf numFmtId="164" fontId="2" fillId="0" borderId="0" xfId="0" applyNumberFormat="1" applyFont="1" applyFill="1" applyBorder="1"/>
    <xf numFmtId="0" fontId="0" fillId="6" borderId="5" xfId="0" applyFill="1" applyBorder="1"/>
    <xf numFmtId="2" fontId="0" fillId="6" borderId="0" xfId="0" applyNumberFormat="1" applyFill="1"/>
    <xf numFmtId="0" fontId="0" fillId="6" borderId="0" xfId="0" applyFill="1" applyAlignment="1">
      <alignment horizontal="left"/>
    </xf>
    <xf numFmtId="2" fontId="2" fillId="0" borderId="0" xfId="0" applyNumberFormat="1" applyFont="1" applyBorder="1"/>
    <xf numFmtId="1" fontId="2" fillId="0" borderId="0" xfId="0" applyNumberFormat="1" applyFont="1" applyBorder="1"/>
    <xf numFmtId="2" fontId="2" fillId="0" borderId="5" xfId="0" applyNumberFormat="1" applyFont="1" applyBorder="1"/>
    <xf numFmtId="1" fontId="2" fillId="0" borderId="0" xfId="0" applyNumberFormat="1" applyFont="1" applyFill="1" applyBorder="1"/>
    <xf numFmtId="2" fontId="2" fillId="0" borderId="0" xfId="0" applyNumberFormat="1" applyFont="1" applyFill="1" applyBorder="1"/>
    <xf numFmtId="2" fontId="0" fillId="0" borderId="5" xfId="0" applyNumberFormat="1" applyBorder="1"/>
    <xf numFmtId="0" fontId="0" fillId="2" borderId="4" xfId="0" quotePrefix="1" applyFont="1" applyFill="1" applyBorder="1"/>
    <xf numFmtId="0" fontId="0" fillId="2" borderId="7" xfId="0" applyFont="1" applyFill="1" applyBorder="1"/>
    <xf numFmtId="164" fontId="0" fillId="0" borderId="5" xfId="0" quotePrefix="1" applyNumberFormat="1" applyBorder="1"/>
    <xf numFmtId="0" fontId="2" fillId="0" borderId="3" xfId="0" applyFont="1" applyBorder="1"/>
    <xf numFmtId="164" fontId="1" fillId="0" borderId="0" xfId="0" quotePrefix="1" applyNumberFormat="1" applyFont="1" applyFill="1" applyBorder="1"/>
    <xf numFmtId="1" fontId="0" fillId="7" borderId="2" xfId="0" quotePrefix="1" applyNumberFormat="1" applyFill="1" applyBorder="1"/>
    <xf numFmtId="0" fontId="0" fillId="2" borderId="16" xfId="0" applyFont="1" applyFill="1" applyBorder="1"/>
    <xf numFmtId="0" fontId="0" fillId="2" borderId="17" xfId="0" applyFont="1" applyFill="1" applyBorder="1"/>
    <xf numFmtId="0" fontId="0" fillId="2" borderId="17" xfId="0" applyFill="1" applyBorder="1"/>
    <xf numFmtId="0" fontId="0" fillId="2" borderId="18" xfId="0" applyFont="1" applyFill="1" applyBorder="1"/>
    <xf numFmtId="0" fontId="0" fillId="2" borderId="19" xfId="0" applyFont="1" applyFill="1" applyBorder="1"/>
    <xf numFmtId="0" fontId="0" fillId="2" borderId="0" xfId="0" applyFont="1" applyFill="1" applyBorder="1"/>
    <xf numFmtId="0" fontId="0" fillId="2" borderId="20" xfId="0" applyFont="1" applyFill="1" applyBorder="1"/>
    <xf numFmtId="1" fontId="0" fillId="7" borderId="22" xfId="0" quotePrefix="1" applyNumberFormat="1" applyFill="1" applyBorder="1"/>
    <xf numFmtId="0" fontId="0" fillId="7" borderId="24" xfId="0" applyFill="1" applyBorder="1"/>
    <xf numFmtId="0" fontId="0" fillId="7" borderId="27" xfId="0" applyFill="1" applyBorder="1"/>
    <xf numFmtId="0" fontId="0" fillId="6" borderId="1" xfId="0" applyFill="1" applyBorder="1"/>
    <xf numFmtId="0" fontId="0" fillId="6" borderId="3" xfId="0" applyFill="1" applyBorder="1"/>
    <xf numFmtId="0" fontId="0" fillId="6" borderId="6" xfId="0" applyFill="1" applyBorder="1"/>
    <xf numFmtId="0" fontId="0" fillId="6" borderId="8" xfId="0" applyFill="1" applyBorder="1"/>
    <xf numFmtId="0" fontId="0" fillId="6" borderId="9" xfId="0" applyFill="1" applyBorder="1"/>
    <xf numFmtId="0" fontId="0" fillId="6" borderId="28" xfId="0" applyFill="1" applyBorder="1"/>
    <xf numFmtId="0" fontId="0" fillId="6" borderId="15" xfId="0" applyFill="1" applyBorder="1"/>
    <xf numFmtId="2" fontId="0" fillId="7" borderId="25" xfId="0" applyNumberFormat="1" applyFill="1" applyBorder="1"/>
    <xf numFmtId="1" fontId="0" fillId="7" borderId="26" xfId="0" quotePrefix="1" applyNumberFormat="1" applyFill="1" applyBorder="1"/>
    <xf numFmtId="2" fontId="0" fillId="7" borderId="21" xfId="0" quotePrefix="1" applyNumberFormat="1" applyFill="1" applyBorder="1"/>
    <xf numFmtId="2" fontId="0" fillId="7" borderId="23" xfId="0" quotePrefix="1" applyNumberFormat="1" applyFill="1" applyBorder="1"/>
    <xf numFmtId="2" fontId="0" fillId="6" borderId="4" xfId="0" applyNumberFormat="1" applyFill="1" applyBorder="1"/>
    <xf numFmtId="2" fontId="0" fillId="6" borderId="0" xfId="0" applyNumberFormat="1" applyFill="1" applyBorder="1"/>
    <xf numFmtId="0" fontId="0" fillId="6" borderId="0" xfId="0" applyFill="1" applyBorder="1"/>
    <xf numFmtId="2" fontId="0" fillId="6" borderId="6" xfId="0" applyNumberFormat="1" applyFill="1" applyBorder="1"/>
    <xf numFmtId="2" fontId="0" fillId="6" borderId="7" xfId="0" applyNumberFormat="1" applyFill="1" applyBorder="1"/>
    <xf numFmtId="2" fontId="1" fillId="0" borderId="0" xfId="0" applyNumberFormat="1" applyFont="1" applyAlignment="1">
      <alignment horizontal="center"/>
    </xf>
    <xf numFmtId="1" fontId="14" fillId="0" borderId="0" xfId="0" applyNumberFormat="1" applyFont="1"/>
    <xf numFmtId="0" fontId="0" fillId="0" borderId="0" xfId="0" applyAlignment="1">
      <alignment horizontal="center"/>
    </xf>
    <xf numFmtId="0" fontId="14" fillId="0" borderId="0" xfId="0" applyFont="1"/>
    <xf numFmtId="164" fontId="0" fillId="0" borderId="1" xfId="0" applyNumberFormat="1" applyBorder="1"/>
    <xf numFmtId="164" fontId="0" fillId="0" borderId="4" xfId="0" applyNumberFormat="1" applyBorder="1"/>
    <xf numFmtId="164" fontId="0" fillId="0" borderId="5" xfId="0" applyNumberFormat="1" applyBorder="1"/>
    <xf numFmtId="2" fontId="1" fillId="3" borderId="0" xfId="0" applyNumberFormat="1" applyFont="1" applyFill="1"/>
    <xf numFmtId="164" fontId="11" fillId="6" borderId="0" xfId="0" applyNumberFormat="1" applyFont="1" applyFill="1"/>
    <xf numFmtId="164" fontId="1" fillId="0" borderId="3" xfId="0" applyNumberFormat="1" applyFont="1" applyBorder="1"/>
    <xf numFmtId="2" fontId="0" fillId="2" borderId="0" xfId="0" applyNumberFormat="1" applyFill="1"/>
    <xf numFmtId="1" fontId="0" fillId="0" borderId="10" xfId="0" applyNumberFormat="1" applyBorder="1" applyAlignment="1">
      <alignment horizontal="center"/>
    </xf>
    <xf numFmtId="1" fontId="0" fillId="0" borderId="11" xfId="0" applyNumberFormat="1" applyBorder="1" applyAlignment="1">
      <alignment horizontal="center"/>
    </xf>
    <xf numFmtId="1" fontId="0" fillId="0" borderId="12" xfId="0" applyNumberFormat="1" applyBorder="1" applyAlignment="1">
      <alignment horizontal="center"/>
    </xf>
    <xf numFmtId="1" fontId="0" fillId="0" borderId="29" xfId="0" applyNumberFormat="1" applyBorder="1" applyAlignment="1">
      <alignment horizontal="center"/>
    </xf>
    <xf numFmtId="0" fontId="0" fillId="0" borderId="14" xfId="0" applyBorder="1"/>
    <xf numFmtId="1" fontId="0" fillId="0" borderId="2" xfId="0" quotePrefix="1" applyNumberFormat="1" applyBorder="1"/>
    <xf numFmtId="0" fontId="0" fillId="0" borderId="2" xfId="0" quotePrefix="1" applyBorder="1"/>
    <xf numFmtId="164" fontId="0" fillId="0" borderId="7" xfId="0" quotePrefix="1" applyNumberFormat="1" applyBorder="1"/>
    <xf numFmtId="0" fontId="0" fillId="0" borderId="7" xfId="0" quotePrefix="1" applyBorder="1"/>
    <xf numFmtId="0" fontId="22" fillId="0" borderId="0" xfId="0" applyFont="1"/>
    <xf numFmtId="164" fontId="0" fillId="0" borderId="14" xfId="0" applyNumberFormat="1" applyBorder="1"/>
    <xf numFmtId="164" fontId="0" fillId="0" borderId="0" xfId="0" quotePrefix="1" applyNumberFormat="1" applyAlignment="1">
      <alignment horizontal="left"/>
    </xf>
    <xf numFmtId="164" fontId="0" fillId="0" borderId="0" xfId="0" quotePrefix="1" applyNumberFormat="1" applyAlignment="1">
      <alignment horizontal="right"/>
    </xf>
    <xf numFmtId="164" fontId="13" fillId="7" borderId="0" xfId="0" applyNumberFormat="1" applyFont="1" applyFill="1"/>
    <xf numFmtId="164" fontId="0" fillId="0" borderId="0" xfId="0" applyNumberFormat="1" applyFont="1" applyAlignment="1">
      <alignment horizontal="center"/>
    </xf>
    <xf numFmtId="1" fontId="0" fillId="7" borderId="0" xfId="0" applyNumberFormat="1" applyFont="1" applyFill="1"/>
    <xf numFmtId="1" fontId="0" fillId="7" borderId="0" xfId="0" applyNumberFormat="1" applyFill="1"/>
    <xf numFmtId="164" fontId="0" fillId="7" borderId="0" xfId="0" applyNumberFormat="1" applyFill="1"/>
    <xf numFmtId="1" fontId="11" fillId="3" borderId="0" xfId="0" applyNumberFormat="1" applyFont="1" applyFill="1"/>
    <xf numFmtId="16" fontId="0" fillId="0" borderId="0" xfId="0" quotePrefix="1" applyNumberFormat="1"/>
    <xf numFmtId="17" fontId="0" fillId="0" borderId="7" xfId="0" quotePrefix="1" applyNumberFormat="1" applyBorder="1"/>
    <xf numFmtId="0" fontId="0" fillId="0" borderId="9" xfId="0" applyBorder="1"/>
    <xf numFmtId="0" fontId="0" fillId="0" borderId="28" xfId="0" applyBorder="1"/>
    <xf numFmtId="166" fontId="0" fillId="0" borderId="0" xfId="0" applyNumberFormat="1"/>
    <xf numFmtId="167" fontId="0" fillId="0" borderId="0" xfId="0" applyNumberFormat="1"/>
    <xf numFmtId="1" fontId="0" fillId="0" borderId="3" xfId="0" applyNumberFormat="1" applyBorder="1"/>
    <xf numFmtId="164" fontId="0" fillId="0" borderId="2" xfId="0" applyNumberFormat="1" applyBorder="1"/>
    <xf numFmtId="0" fontId="0" fillId="6" borderId="15" xfId="0" quotePrefix="1" applyFill="1" applyBorder="1"/>
    <xf numFmtId="16" fontId="0" fillId="6" borderId="15" xfId="0" quotePrefix="1" applyNumberFormat="1" applyFill="1" applyBorder="1"/>
    <xf numFmtId="0" fontId="0" fillId="6" borderId="7" xfId="0" applyFill="1" applyBorder="1" applyAlignment="1">
      <alignment horizontal="left"/>
    </xf>
    <xf numFmtId="0" fontId="0" fillId="6" borderId="7" xfId="0" applyFill="1" applyBorder="1" applyAlignment="1">
      <alignment horizontal="center"/>
    </xf>
    <xf numFmtId="0" fontId="0" fillId="6" borderId="4" xfId="0" applyFill="1" applyBorder="1"/>
    <xf numFmtId="0" fontId="0" fillId="6" borderId="13" xfId="0" applyFill="1" applyBorder="1"/>
    <xf numFmtId="0" fontId="0" fillId="6" borderId="11" xfId="0" applyFill="1" applyBorder="1"/>
    <xf numFmtId="1" fontId="0" fillId="6" borderId="0" xfId="0" applyNumberFormat="1" applyFill="1" applyBorder="1"/>
    <xf numFmtId="1" fontId="1" fillId="6" borderId="0" xfId="0" applyNumberFormat="1" applyFont="1" applyFill="1" applyBorder="1"/>
    <xf numFmtId="1" fontId="0" fillId="6" borderId="5" xfId="0" applyNumberFormat="1" applyFill="1" applyBorder="1"/>
    <xf numFmtId="0" fontId="0" fillId="6" borderId="12" xfId="0" applyFill="1" applyBorder="1"/>
    <xf numFmtId="164" fontId="0" fillId="6" borderId="0" xfId="0" applyNumberFormat="1" applyFill="1" applyBorder="1"/>
    <xf numFmtId="0" fontId="5" fillId="6" borderId="0" xfId="0" applyFont="1" applyFill="1"/>
    <xf numFmtId="16" fontId="0" fillId="6" borderId="0" xfId="0" quotePrefix="1" applyNumberFormat="1" applyFill="1"/>
    <xf numFmtId="1" fontId="0" fillId="6" borderId="7" xfId="0" applyNumberFormat="1" applyFill="1" applyBorder="1"/>
    <xf numFmtId="17" fontId="0" fillId="6" borderId="7" xfId="0" quotePrefix="1" applyNumberFormat="1" applyFill="1" applyBorder="1"/>
    <xf numFmtId="2" fontId="0" fillId="0" borderId="4" xfId="0" applyNumberFormat="1" applyBorder="1"/>
    <xf numFmtId="0" fontId="0" fillId="0" borderId="0" xfId="0" applyFill="1" applyBorder="1" applyAlignment="1">
      <alignment wrapText="1"/>
    </xf>
    <xf numFmtId="0" fontId="0" fillId="0" borderId="5" xfId="0" applyFill="1" applyBorder="1" applyAlignment="1">
      <alignment wrapText="1"/>
    </xf>
    <xf numFmtId="0" fontId="0" fillId="0" borderId="0" xfId="0" applyAlignment="1">
      <alignment horizontal="center"/>
    </xf>
    <xf numFmtId="0" fontId="0" fillId="0" borderId="7" xfId="0" applyBorder="1" applyAlignment="1">
      <alignment horizontal="center"/>
    </xf>
    <xf numFmtId="0" fontId="0" fillId="0" borderId="7" xfId="0" applyFont="1" applyBorder="1" applyAlignment="1">
      <alignment horizontal="center"/>
    </xf>
    <xf numFmtId="0" fontId="2" fillId="0" borderId="7" xfId="0" applyFont="1" applyBorder="1" applyAlignment="1">
      <alignment horizontal="center"/>
    </xf>
  </cellXfs>
  <cellStyles count="1">
    <cellStyle name="Normaali" xfId="0" builtinId="0"/>
  </cellStyles>
  <dxfs count="0"/>
  <tableStyles count="0" defaultTableStyle="TableStyleMedium2" defaultPivotStyle="PivotStyleLight16"/>
  <colors>
    <mruColors>
      <color rgb="FFABDB77"/>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1</xdr:col>
      <xdr:colOff>0</xdr:colOff>
      <xdr:row>1</xdr:row>
      <xdr:rowOff>190498</xdr:rowOff>
    </xdr:from>
    <xdr:to>
      <xdr:col>10</xdr:col>
      <xdr:colOff>47625</xdr:colOff>
      <xdr:row>35</xdr:row>
      <xdr:rowOff>76199</xdr:rowOff>
    </xdr:to>
    <xdr:sp macro="" textlink="">
      <xdr:nvSpPr>
        <xdr:cNvPr id="2" name="Tekstiruutu 1"/>
        <xdr:cNvSpPr txBox="1"/>
      </xdr:nvSpPr>
      <xdr:spPr>
        <a:xfrm>
          <a:off x="609600" y="380998"/>
          <a:ext cx="5534025" cy="63627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100">
              <a:solidFill>
                <a:schemeClr val="dk1"/>
              </a:solidFill>
              <a:effectLst/>
              <a:latin typeface="+mn-lt"/>
              <a:ea typeface="+mn-ea"/>
              <a:cs typeface="+mn-cs"/>
            </a:rPr>
            <a:t>Excel-mallin periaate on,</a:t>
          </a:r>
          <a:r>
            <a:rPr lang="fi-FI" sz="1100" baseline="0">
              <a:solidFill>
                <a:schemeClr val="dk1"/>
              </a:solidFill>
              <a:effectLst/>
              <a:latin typeface="+mn-lt"/>
              <a:ea typeface="+mn-ea"/>
              <a:cs typeface="+mn-cs"/>
            </a:rPr>
            <a:t> että </a:t>
          </a:r>
          <a:r>
            <a:rPr lang="fi-FI" sz="1100" b="1" baseline="0">
              <a:solidFill>
                <a:schemeClr val="dk1"/>
              </a:solidFill>
              <a:effectLst/>
              <a:latin typeface="+mn-lt"/>
              <a:ea typeface="+mn-ea"/>
              <a:cs typeface="+mn-cs"/>
            </a:rPr>
            <a:t>Lähtötiedot</a:t>
          </a:r>
          <a:r>
            <a:rPr lang="fi-FI" sz="1100" baseline="0">
              <a:solidFill>
                <a:schemeClr val="dk1"/>
              </a:solidFill>
              <a:effectLst/>
              <a:latin typeface="+mn-lt"/>
              <a:ea typeface="+mn-ea"/>
              <a:cs typeface="+mn-cs"/>
            </a:rPr>
            <a:t>-välilehdelle annetaan valittujen rehuntuotto- ja ruokintastrategioiden kaikki panos-tuotostiedot. </a:t>
          </a:r>
          <a:r>
            <a:rPr lang="fi-FI" sz="1100" baseline="0">
              <a:solidFill>
                <a:srgbClr val="00B050"/>
              </a:solidFill>
              <a:effectLst/>
              <a:latin typeface="+mn-lt"/>
              <a:ea typeface="+mn-ea"/>
              <a:cs typeface="+mn-cs"/>
            </a:rPr>
            <a:t>Vain vihreällä pohjalla merkittyihin soluihin saa muuttaa lukuja. </a:t>
          </a:r>
          <a:r>
            <a:rPr lang="fi-FI" sz="1100" baseline="0">
              <a:solidFill>
                <a:schemeClr val="dk1"/>
              </a:solidFill>
              <a:effectLst/>
              <a:latin typeface="+mn-lt"/>
              <a:ea typeface="+mn-ea"/>
              <a:cs typeface="+mn-cs"/>
            </a:rPr>
            <a:t>Tarkasteltavat lopputulokset  on koottu </a:t>
          </a:r>
          <a:r>
            <a:rPr lang="fi-FI" sz="1100" b="1" baseline="0">
              <a:solidFill>
                <a:schemeClr val="dk1"/>
              </a:solidFill>
              <a:effectLst/>
              <a:latin typeface="+mn-lt"/>
              <a:ea typeface="+mn-ea"/>
              <a:cs typeface="+mn-cs"/>
            </a:rPr>
            <a:t>Tulokset</a:t>
          </a:r>
          <a:r>
            <a:rPr lang="fi-FI" sz="1100" baseline="0">
              <a:solidFill>
                <a:schemeClr val="dk1"/>
              </a:solidFill>
              <a:effectLst/>
              <a:latin typeface="+mn-lt"/>
              <a:ea typeface="+mn-ea"/>
              <a:cs typeface="+mn-cs"/>
            </a:rPr>
            <a:t>-välilehdelle.  </a:t>
          </a:r>
          <a:r>
            <a:rPr lang="fi-FI" sz="1100" b="1" baseline="0">
              <a:solidFill>
                <a:schemeClr val="dk1"/>
              </a:solidFill>
              <a:effectLst/>
              <a:latin typeface="+mn-lt"/>
              <a:ea typeface="+mn-ea"/>
              <a:cs typeface="+mn-cs"/>
            </a:rPr>
            <a:t>Karja-,</a:t>
          </a:r>
          <a:r>
            <a:rPr lang="fi-FI" sz="1100" baseline="0">
              <a:solidFill>
                <a:schemeClr val="dk1"/>
              </a:solidFill>
              <a:effectLst/>
              <a:latin typeface="+mn-lt"/>
              <a:ea typeface="+mn-ea"/>
              <a:cs typeface="+mn-cs"/>
            </a:rPr>
            <a:t> </a:t>
          </a:r>
          <a:r>
            <a:rPr lang="fi-FI" sz="1100" b="1">
              <a:solidFill>
                <a:schemeClr val="dk1"/>
              </a:solidFill>
              <a:effectLst/>
              <a:latin typeface="+mn-lt"/>
              <a:ea typeface="+mn-ea"/>
              <a:cs typeface="+mn-cs"/>
            </a:rPr>
            <a:t>Pelto</a:t>
          </a:r>
          <a:r>
            <a:rPr lang="fi-FI" sz="1100">
              <a:solidFill>
                <a:schemeClr val="dk1"/>
              </a:solidFill>
              <a:effectLst/>
              <a:latin typeface="+mn-lt"/>
              <a:ea typeface="+mn-ea"/>
              <a:cs typeface="+mn-cs"/>
            </a:rPr>
            <a:t>-, </a:t>
          </a:r>
          <a:r>
            <a:rPr lang="fi-FI" sz="1100" b="1">
              <a:solidFill>
                <a:schemeClr val="dk1"/>
              </a:solidFill>
              <a:effectLst/>
              <a:latin typeface="+mn-lt"/>
              <a:ea typeface="+mn-ea"/>
              <a:cs typeface="+mn-cs"/>
            </a:rPr>
            <a:t>Ravinnetase</a:t>
          </a:r>
          <a:r>
            <a:rPr lang="fi-FI" sz="1100">
              <a:solidFill>
                <a:schemeClr val="dk1"/>
              </a:solidFill>
              <a:effectLst/>
              <a:latin typeface="+mn-lt"/>
              <a:ea typeface="+mn-ea"/>
              <a:cs typeface="+mn-cs"/>
            </a:rPr>
            <a:t>- ja </a:t>
          </a:r>
          <a:r>
            <a:rPr lang="fi-FI" sz="1100" b="1">
              <a:solidFill>
                <a:schemeClr val="dk1"/>
              </a:solidFill>
              <a:effectLst/>
              <a:latin typeface="+mn-lt"/>
              <a:ea typeface="+mn-ea"/>
              <a:cs typeface="+mn-cs"/>
            </a:rPr>
            <a:t>Talous</a:t>
          </a:r>
          <a:r>
            <a:rPr lang="fi-FI" sz="1100">
              <a:solidFill>
                <a:schemeClr val="dk1"/>
              </a:solidFill>
              <a:effectLst/>
              <a:latin typeface="+mn-lt"/>
              <a:ea typeface="+mn-ea"/>
              <a:cs typeface="+mn-cs"/>
            </a:rPr>
            <a:t>- välilehdet sisältävät laskennan välituloksia, joita voi Tulokset-välilehden lisäksi tarkastella. Mallin toiminnan</a:t>
          </a:r>
          <a:r>
            <a:rPr lang="fi-FI" sz="1100" baseline="0">
              <a:solidFill>
                <a:schemeClr val="dk1"/>
              </a:solidFill>
              <a:effectLst/>
              <a:latin typeface="+mn-lt"/>
              <a:ea typeface="+mn-ea"/>
              <a:cs typeface="+mn-cs"/>
            </a:rPr>
            <a:t> yksityiskohtainen kuvaus löytyy LyVa -hankkeen www-sivulta.</a:t>
          </a:r>
          <a:endParaRPr lang="fi-FI">
            <a:effectLst/>
          </a:endParaRPr>
        </a:p>
        <a:p>
          <a:endParaRPr lang="fi-FI" sz="1100" baseline="0">
            <a:solidFill>
              <a:schemeClr val="dk1"/>
            </a:solidFill>
            <a:effectLst/>
            <a:latin typeface="+mn-lt"/>
            <a:ea typeface="+mn-ea"/>
            <a:cs typeface="+mn-cs"/>
          </a:endParaRPr>
        </a:p>
        <a:p>
          <a:r>
            <a:rPr lang="fi-FI" sz="1100" baseline="0">
              <a:solidFill>
                <a:schemeClr val="dk1"/>
              </a:solidFill>
              <a:effectLst/>
              <a:latin typeface="+mn-lt"/>
              <a:ea typeface="+mn-ea"/>
              <a:cs typeface="+mn-cs"/>
            </a:rPr>
            <a:t>Valittavissa olevien ruokintastrategioiden luvut on laskettu erillisellä Lypsikki mallilla valmiiksi. Lypsikki-tiedostosta löytyvät myös tarkat rehuanalyysit ja erikseen tallennettavat maidon pitoisuudet. Hankkeen loppuvaiheessa  Lypsikki- ja ravinnekiertomallit voidaan tarvittaessa yhdistää. </a:t>
          </a:r>
        </a:p>
        <a:p>
          <a:endParaRPr lang="fi-FI" sz="1100" baseline="0">
            <a:solidFill>
              <a:schemeClr val="dk1"/>
            </a:solidFill>
            <a:effectLst/>
            <a:latin typeface="+mn-lt"/>
            <a:ea typeface="+mn-ea"/>
            <a:cs typeface="+mn-cs"/>
          </a:endParaRPr>
        </a:p>
        <a:p>
          <a:r>
            <a:rPr lang="fi-FI" sz="1100" baseline="0">
              <a:solidFill>
                <a:schemeClr val="dk1"/>
              </a:solidFill>
              <a:effectLst/>
              <a:latin typeface="+mn-lt"/>
              <a:ea typeface="+mn-ea"/>
              <a:cs typeface="+mn-cs"/>
            </a:rPr>
            <a:t>Alustavat valittavissa olevat ruokintastrategiat ovat:</a:t>
          </a:r>
        </a:p>
        <a:p>
          <a:r>
            <a:rPr lang="fi-FI" sz="1100" baseline="0">
              <a:solidFill>
                <a:schemeClr val="dk1"/>
              </a:solidFill>
              <a:effectLst/>
              <a:latin typeface="+mn-lt"/>
              <a:ea typeface="+mn-ea"/>
              <a:cs typeface="+mn-cs"/>
            </a:rPr>
            <a:t>Nurmen lannoitustaso 120 kgN tai 240 kgN</a:t>
          </a:r>
        </a:p>
        <a:p>
          <a:r>
            <a:rPr lang="fi-FI" sz="1100" baseline="0">
              <a:solidFill>
                <a:schemeClr val="dk1"/>
              </a:solidFill>
              <a:effectLst/>
              <a:latin typeface="+mn-lt"/>
              <a:ea typeface="+mn-ea"/>
              <a:cs typeface="+mn-cs"/>
            </a:rPr>
            <a:t>Lisävalkuaisruokinta: matala, normaali, korkea</a:t>
          </a:r>
        </a:p>
        <a:p>
          <a:r>
            <a:rPr lang="fi-FI" sz="1100" baseline="0">
              <a:solidFill>
                <a:schemeClr val="dk1"/>
              </a:solidFill>
              <a:effectLst/>
              <a:latin typeface="+mn-lt"/>
              <a:ea typeface="+mn-ea"/>
              <a:cs typeface="+mn-cs"/>
            </a:rPr>
            <a:t>Karkearehutyyppi: nurmirehu, nurmi/apila tai nurmi/kokovilja (60:40)</a:t>
          </a:r>
        </a:p>
        <a:p>
          <a:endParaRPr lang="fi-FI" sz="1100" baseline="0">
            <a:solidFill>
              <a:schemeClr val="dk1"/>
            </a:solidFill>
            <a:effectLst/>
            <a:latin typeface="+mn-lt"/>
            <a:ea typeface="+mn-ea"/>
            <a:cs typeface="+mn-cs"/>
          </a:endParaRPr>
        </a:p>
        <a:p>
          <a:r>
            <a:rPr lang="fi-FI" sz="1100" baseline="0">
              <a:solidFill>
                <a:schemeClr val="dk1"/>
              </a:solidFill>
              <a:effectLst/>
              <a:latin typeface="+mn-lt"/>
              <a:ea typeface="+mn-ea"/>
              <a:cs typeface="+mn-cs"/>
            </a:rPr>
            <a:t>Eri ruokintastrategioita on mahdollisuus laskea loputtomasti. Tässä vaiheessa mallin selkeyden vuoksi rajoitutaan luokkatarkasteluun. Tilamalli on mahdollista jalostaa toimimaan myös jatkuvana, mutta se vaatii runsaasti aikaresursseja. </a:t>
          </a:r>
        </a:p>
        <a:p>
          <a:endParaRPr lang="fi-FI" sz="1100" baseline="0">
            <a:solidFill>
              <a:schemeClr val="dk1"/>
            </a:solidFill>
            <a:effectLst/>
            <a:latin typeface="+mn-lt"/>
            <a:ea typeface="+mn-ea"/>
            <a:cs typeface="+mn-cs"/>
          </a:endParaRPr>
        </a:p>
        <a:p>
          <a:r>
            <a:rPr lang="fi-FI" sz="1100" baseline="0">
              <a:solidFill>
                <a:schemeClr val="dk1"/>
              </a:solidFill>
              <a:effectLst/>
              <a:latin typeface="+mn-lt"/>
              <a:ea typeface="+mn-ea"/>
              <a:cs typeface="+mn-cs"/>
            </a:rPr>
            <a:t>Lähtötiedot-välilehdelle annetaan ruokintojen lisäksi kaikki muut mallin vaatimat parametrit, kuten lannoitus, peltojen kunto ym. Ruokintastrategiat löytyy sivun alaosasta suodatusvakikon kautta. Työteknisistä syistä johtuen valitun ruokintastrategian tiedot täytyy käsin kopioida ruokintatiedoille varatulle paikalle Karja-välilehdelle (A3:I9). Muille sivuille loppukäyttäjän ei tarvitse tallentaa lukuja.</a:t>
          </a:r>
        </a:p>
        <a:p>
          <a:endParaRPr lang="fi-FI">
            <a:effectLst/>
          </a:endParaRPr>
        </a:p>
        <a:p>
          <a:r>
            <a:rPr lang="fi-FI" sz="1100" baseline="0">
              <a:solidFill>
                <a:schemeClr val="dk1"/>
              </a:solidFill>
              <a:effectLst/>
              <a:latin typeface="+mn-lt"/>
              <a:ea typeface="+mn-ea"/>
              <a:cs typeface="+mn-cs"/>
            </a:rPr>
            <a:t>Kaikki tilamallin tarvitsemat funktiot ruokinnan maitotuotosvasteita lukuunottamatta on koottu välilehdelle Funktiot. Sivu sisältää  kootusti kaikki laskentaperiaatteet ja käytetyt vakiot sekä funktioiden kuvauksen. </a:t>
          </a:r>
        </a:p>
        <a:p>
          <a:endParaRPr lang="fi-FI">
            <a:effectLst/>
          </a:endParaRPr>
        </a:p>
        <a:p>
          <a:r>
            <a:rPr lang="fi-FI">
              <a:effectLst/>
            </a:rPr>
            <a:t>Malli on työversio ja päivittyy koko hankkeen ajan. </a:t>
          </a:r>
          <a:r>
            <a:rPr lang="fi-FI" baseline="0">
              <a:effectLst/>
            </a:rPr>
            <a:t> Lopullinen versio on käytettävissä  vuoden 2018 lopussa.</a:t>
          </a:r>
          <a:endParaRPr lang="fi-FI">
            <a:effectLst/>
          </a:endParaRPr>
        </a:p>
        <a:p>
          <a:endParaRPr lang="fi-FI">
            <a:effectLst/>
          </a:endParaRPr>
        </a:p>
        <a:p>
          <a:endParaRPr lang="fi-FI"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510540</xdr:colOff>
      <xdr:row>14</xdr:row>
      <xdr:rowOff>100964</xdr:rowOff>
    </xdr:from>
    <xdr:to>
      <xdr:col>18</xdr:col>
      <xdr:colOff>43815</xdr:colOff>
      <xdr:row>21</xdr:row>
      <xdr:rowOff>87629</xdr:rowOff>
    </xdr:to>
    <xdr:sp macro="" textlink="">
      <xdr:nvSpPr>
        <xdr:cNvPr id="2" name="Tekstiruutu 1"/>
        <xdr:cNvSpPr txBox="1"/>
      </xdr:nvSpPr>
      <xdr:spPr>
        <a:xfrm>
          <a:off x="4892040" y="2684144"/>
          <a:ext cx="7458075" cy="131254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100"/>
            <a:t>Korkeat</a:t>
          </a:r>
          <a:r>
            <a:rPr lang="fi-FI" sz="1100" baseline="0"/>
            <a:t> satotasot rajoittavat lietteen levitysmahdollisuuksia. </a:t>
          </a:r>
          <a:r>
            <a:rPr lang="fi-FI" sz="1100" b="0" i="0" u="none" strike="noStrike">
              <a:solidFill>
                <a:schemeClr val="dk1"/>
              </a:solidFill>
              <a:effectLst/>
              <a:latin typeface="+mn-lt"/>
              <a:ea typeface="+mn-ea"/>
              <a:cs typeface="+mn-cs"/>
            </a:rPr>
            <a:t>Kotieläintalouden ympäristönsuojeluohjeiden mukaan enimmäiseläinmäärä saa olla enintään 1.3 lehmä/ha  ilman uudistusta.</a:t>
          </a:r>
          <a:r>
            <a:rPr lang="fi-FI"/>
            <a:t> Tämä säännös ei käytännössä rajoita lietteen levitystä.</a:t>
          </a:r>
        </a:p>
        <a:p>
          <a:endParaRPr lang="fi-FI" sz="1100"/>
        </a:p>
        <a:p>
          <a:r>
            <a:rPr lang="fi-FI" sz="1100"/>
            <a:t>Typen osalta lietteen maksimimäärä tulee vastaa</a:t>
          </a:r>
          <a:r>
            <a:rPr lang="fi-FI" sz="1100" baseline="0"/>
            <a:t>n nitraattiasetuksen 170 kilon kokonais N rajoituksena. Karjan tuottama typpi mahtuisi tarvittavalle vilja-alalle, mutta fosforirajoitus puolittaa lietteen levitysmäärän nitraattidirektiiviin verrattuna. Rajoittavaksi tekijäksi tulee typen osalta siten nitraattidirektiivi, koska biologisympäristölliseltä kannalta nurmelle voisi antaa enemmän lietettä.  Nitraattidirektiivi siten välillisesti rajoittaa nurmen satotason nostoa.</a:t>
          </a:r>
          <a:endParaRPr lang="fi-FI"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19</xdr:col>
      <xdr:colOff>19050</xdr:colOff>
      <xdr:row>0</xdr:row>
      <xdr:rowOff>190498</xdr:rowOff>
    </xdr:from>
    <xdr:to>
      <xdr:col>26</xdr:col>
      <xdr:colOff>552450</xdr:colOff>
      <xdr:row>12</xdr:row>
      <xdr:rowOff>95250</xdr:rowOff>
    </xdr:to>
    <xdr:sp macro="" textlink="">
      <xdr:nvSpPr>
        <xdr:cNvPr id="2" name="Tekstiruutu 1"/>
        <xdr:cNvSpPr txBox="1"/>
      </xdr:nvSpPr>
      <xdr:spPr>
        <a:xfrm>
          <a:off x="10115550" y="190498"/>
          <a:ext cx="4800600" cy="180975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100" baseline="0"/>
            <a:t>Typpitaseet navetassa ovat lehmillä ja umppareilla nolla eli kaikki tulee ulos mikä on mennyt sisään typen pidättyminen huomioiden. Hiehojen kasvua ei huomioida, koska systeemitasolla hieholauman typpipooli pysyy vakiona.</a:t>
          </a:r>
        </a:p>
        <a:p>
          <a:endParaRPr lang="fi-FI" sz="1100" baseline="0"/>
        </a:p>
        <a:p>
          <a:r>
            <a:rPr lang="fi-FI" sz="1100" baseline="0"/>
            <a:t>Typpeä kulkeutuu myös karvan kasvuun ja hilseen muodostukseen. Tätä osiota ei ole huomioitu. Erotuslaskennassa tämä pooli ohjautuu virtsan ja sonnan typeksi. Käytännössä ihoperäinen typpi muutenkin joutuu lietekuiluun joten tarkempi laskenta ei juuri muuta lopputulosta. </a:t>
          </a:r>
        </a:p>
        <a:p>
          <a:endParaRPr lang="fi-FI" sz="1100" baseline="0"/>
        </a:p>
      </xdr:txBody>
    </xdr:sp>
    <xdr:clientData/>
  </xdr:twoCellAnchor>
  <xdr:twoCellAnchor>
    <xdr:from>
      <xdr:col>19</xdr:col>
      <xdr:colOff>28575</xdr:colOff>
      <xdr:row>13</xdr:row>
      <xdr:rowOff>47625</xdr:rowOff>
    </xdr:from>
    <xdr:to>
      <xdr:col>26</xdr:col>
      <xdr:colOff>561975</xdr:colOff>
      <xdr:row>14</xdr:row>
      <xdr:rowOff>129540</xdr:rowOff>
    </xdr:to>
    <xdr:sp macro="" textlink="">
      <xdr:nvSpPr>
        <xdr:cNvPr id="3" name="Tekstiruutu 2"/>
        <xdr:cNvSpPr txBox="1"/>
      </xdr:nvSpPr>
      <xdr:spPr>
        <a:xfrm>
          <a:off x="11367135" y="2059305"/>
          <a:ext cx="4800600" cy="26479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100"/>
            <a:t>*vesi</a:t>
          </a:r>
          <a:r>
            <a:rPr lang="fi-FI" sz="1100" baseline="0"/>
            <a:t> ei ole oikein vielä mukana</a:t>
          </a:r>
          <a:r>
            <a:rPr lang="fi-FI" sz="1100"/>
            <a:t>			</a:t>
          </a:r>
        </a:p>
      </xdr:txBody>
    </xdr:sp>
    <xdr:clientData/>
  </xdr:twoCellAnchor>
</xdr:wsDr>
</file>

<file path=xl/theme/theme1.xml><?xml version="1.0" encoding="utf-8"?>
<a:theme xmlns:a="http://schemas.openxmlformats.org/drawingml/2006/main" name="Office-te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7.bin"/><Relationship Id="rId4" Type="http://schemas.openxmlformats.org/officeDocument/2006/relationships/comments" Target="../comments5.xml"/></Relationships>
</file>

<file path=xl/worksheets/_rels/sheet9.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T49"/>
  <sheetViews>
    <sheetView workbookViewId="0">
      <selection activeCell="B25" sqref="B25"/>
    </sheetView>
  </sheetViews>
  <sheetFormatPr defaultRowHeight="14.4" x14ac:dyDescent="0.3"/>
  <sheetData>
    <row r="2" spans="2:3" x14ac:dyDescent="0.3">
      <c r="B2" t="s">
        <v>572</v>
      </c>
    </row>
    <row r="4" spans="2:3" x14ac:dyDescent="0.3">
      <c r="C4" t="s">
        <v>577</v>
      </c>
    </row>
    <row r="5" spans="2:3" x14ac:dyDescent="0.3">
      <c r="B5" t="s">
        <v>590</v>
      </c>
      <c r="C5" t="s">
        <v>591</v>
      </c>
    </row>
    <row r="6" spans="2:3" x14ac:dyDescent="0.3">
      <c r="B6" t="s">
        <v>578</v>
      </c>
      <c r="C6" s="2" t="s">
        <v>326</v>
      </c>
    </row>
    <row r="7" spans="2:3" x14ac:dyDescent="0.3">
      <c r="B7" t="s">
        <v>600</v>
      </c>
      <c r="C7" s="2" t="s">
        <v>412</v>
      </c>
    </row>
    <row r="8" spans="2:3" x14ac:dyDescent="0.3">
      <c r="B8" t="s">
        <v>807</v>
      </c>
    </row>
    <row r="20" spans="1:3" x14ac:dyDescent="0.3">
      <c r="B20" t="s">
        <v>768</v>
      </c>
    </row>
    <row r="21" spans="1:3" x14ac:dyDescent="0.3">
      <c r="B21" t="s">
        <v>769</v>
      </c>
    </row>
    <row r="22" spans="1:3" x14ac:dyDescent="0.3">
      <c r="B22" t="s">
        <v>771</v>
      </c>
    </row>
    <row r="23" spans="1:3" x14ac:dyDescent="0.3">
      <c r="B23" t="s">
        <v>791</v>
      </c>
    </row>
    <row r="25" spans="1:3" x14ac:dyDescent="0.3">
      <c r="A25" t="s">
        <v>944</v>
      </c>
      <c r="B25" t="s">
        <v>945</v>
      </c>
    </row>
    <row r="30" spans="1:3" x14ac:dyDescent="0.3">
      <c r="A30" t="s">
        <v>794</v>
      </c>
    </row>
    <row r="31" spans="1:3" x14ac:dyDescent="0.3">
      <c r="C31" t="s">
        <v>571</v>
      </c>
    </row>
    <row r="33" spans="1:20" x14ac:dyDescent="0.3">
      <c r="A33" s="149"/>
      <c r="B33" s="149"/>
      <c r="C33" t="s">
        <v>477</v>
      </c>
      <c r="D33" s="149"/>
      <c r="E33" s="149"/>
      <c r="F33" s="149"/>
      <c r="G33" s="149"/>
      <c r="H33" s="149"/>
      <c r="I33" s="149"/>
      <c r="J33" s="149"/>
      <c r="K33" s="149"/>
      <c r="L33" s="149"/>
      <c r="M33" s="149"/>
      <c r="N33" s="149"/>
      <c r="O33" s="149"/>
      <c r="P33" s="149"/>
      <c r="Q33" s="149"/>
      <c r="R33" s="149"/>
      <c r="S33" s="149"/>
      <c r="T33" s="149"/>
    </row>
    <row r="35" spans="1:20" x14ac:dyDescent="0.3">
      <c r="B35" s="12" t="s">
        <v>378</v>
      </c>
      <c r="G35" t="s">
        <v>386</v>
      </c>
      <c r="I35" s="140" t="s">
        <v>383</v>
      </c>
    </row>
    <row r="36" spans="1:20" x14ac:dyDescent="0.3">
      <c r="D36" s="15" t="s">
        <v>379</v>
      </c>
      <c r="E36" s="15"/>
      <c r="F36" s="15"/>
      <c r="G36" s="15" t="s">
        <v>287</v>
      </c>
      <c r="H36" s="11" t="s">
        <v>380</v>
      </c>
      <c r="I36" s="141" t="s">
        <v>384</v>
      </c>
      <c r="M36" s="3"/>
    </row>
    <row r="37" spans="1:20" x14ac:dyDescent="0.3">
      <c r="C37" t="str">
        <f>Pelto!C26</f>
        <v>Säilörehu</v>
      </c>
      <c r="D37" s="1">
        <f>Pelto!D26</f>
        <v>0.82657498968730037</v>
      </c>
      <c r="E37" t="str">
        <f>Pelto!E26</f>
        <v>ha</v>
      </c>
      <c r="G37" s="1">
        <f>Pelto!D3*(1+Pelto!D14)</f>
        <v>543.34569704498892</v>
      </c>
      <c r="H37">
        <f>Karja!H6</f>
        <v>2.9</v>
      </c>
      <c r="I37" s="142">
        <f t="shared" ref="I37:I42" si="0">H37*G37</f>
        <v>1575.7025214304679</v>
      </c>
      <c r="P37" s="3"/>
      <c r="Q37" s="3"/>
    </row>
    <row r="38" spans="1:20" x14ac:dyDescent="0.3">
      <c r="C38" t="str">
        <f>Pelto!C27</f>
        <v>Kokoviljaa</v>
      </c>
      <c r="D38">
        <f>Pelto!D27</f>
        <v>3.0086717443587832E-2</v>
      </c>
      <c r="E38" t="str">
        <f>Pelto!E27</f>
        <v>ha</v>
      </c>
      <c r="G38" s="1">
        <f>Pelto!D4*(1+Pelto!D14)</f>
        <v>19.55636633833209</v>
      </c>
      <c r="H38">
        <f>Karja!H8</f>
        <v>2.5</v>
      </c>
      <c r="I38" s="142">
        <f t="shared" si="0"/>
        <v>48.890915845830222</v>
      </c>
    </row>
    <row r="39" spans="1:20" x14ac:dyDescent="0.3">
      <c r="C39" t="str">
        <f>Pelto!C29</f>
        <v>Omavilja</v>
      </c>
      <c r="D39">
        <f>Pelto!D29</f>
        <v>0.66760022074005665</v>
      </c>
      <c r="E39" t="str">
        <f>Pelto!E29</f>
        <v>ha</v>
      </c>
      <c r="G39" s="1">
        <f>Pelto!D6</f>
        <v>229.65447593457947</v>
      </c>
      <c r="H39">
        <f>Karja!H4</f>
        <v>3.6</v>
      </c>
      <c r="I39" s="142">
        <f t="shared" si="0"/>
        <v>826.75611336448605</v>
      </c>
      <c r="P39" s="3"/>
      <c r="Q39" s="3"/>
    </row>
    <row r="40" spans="1:20" x14ac:dyDescent="0.3">
      <c r="C40" t="str">
        <f>Pelto!C30</f>
        <v>muu pelto</v>
      </c>
      <c r="D40">
        <f>Pelto!D30</f>
        <v>0</v>
      </c>
      <c r="E40" t="str">
        <f>Pelto!E30</f>
        <v>ha</v>
      </c>
      <c r="I40" s="142">
        <f t="shared" si="0"/>
        <v>0</v>
      </c>
      <c r="M40" s="3"/>
    </row>
    <row r="41" spans="1:20" x14ac:dyDescent="0.3">
      <c r="C41" t="s">
        <v>381</v>
      </c>
      <c r="G41">
        <f>Karja!D22*Karja!D9*365/1000</f>
        <v>7.3</v>
      </c>
      <c r="H41">
        <f>Karja!H9</f>
        <v>5</v>
      </c>
      <c r="I41" s="142">
        <f t="shared" si="0"/>
        <v>36.5</v>
      </c>
    </row>
    <row r="42" spans="1:20" x14ac:dyDescent="0.3">
      <c r="C42" s="15" t="s">
        <v>382</v>
      </c>
      <c r="D42" s="15"/>
      <c r="E42" s="15"/>
      <c r="F42" s="15"/>
      <c r="G42" s="10">
        <f>Karja!L32</f>
        <v>86.473886214953296</v>
      </c>
      <c r="H42" s="15">
        <f>Karja!H5</f>
        <v>13.2</v>
      </c>
      <c r="I42" s="143">
        <f t="shared" si="0"/>
        <v>1141.4552980373835</v>
      </c>
      <c r="L42" s="7"/>
      <c r="M42" s="7"/>
    </row>
    <row r="43" spans="1:20" x14ac:dyDescent="0.3">
      <c r="C43" s="20" t="s">
        <v>112</v>
      </c>
      <c r="D43" s="1">
        <f>SUM(D37:D40)</f>
        <v>1.5242619278709448</v>
      </c>
      <c r="G43" s="1">
        <f>SUM(G37:G42)</f>
        <v>886.33042553285361</v>
      </c>
      <c r="I43" s="144">
        <f>SUM(I37:I42)</f>
        <v>3629.3048486781681</v>
      </c>
      <c r="J43" t="s">
        <v>385</v>
      </c>
      <c r="M43" s="3"/>
    </row>
    <row r="44" spans="1:20" x14ac:dyDescent="0.3">
      <c r="M44" s="49"/>
      <c r="P44" s="2"/>
      <c r="Q44" s="2"/>
    </row>
    <row r="45" spans="1:20" x14ac:dyDescent="0.3">
      <c r="C45" t="s">
        <v>423</v>
      </c>
      <c r="H45" t="s">
        <v>388</v>
      </c>
      <c r="I45" s="3" t="e">
        <f>RavinnetaseN!#REF!+RavinnetaseN!#REF!+RavinnetaseN!#REF!</f>
        <v>#REF!</v>
      </c>
      <c r="J45" t="s">
        <v>385</v>
      </c>
    </row>
    <row r="46" spans="1:20" x14ac:dyDescent="0.3">
      <c r="C46" t="s">
        <v>387</v>
      </c>
      <c r="H46" t="s">
        <v>389</v>
      </c>
      <c r="I46" s="3" t="e">
        <f>I43-I45</f>
        <v>#REF!</v>
      </c>
    </row>
    <row r="48" spans="1:20" x14ac:dyDescent="0.3">
      <c r="H48" t="s">
        <v>395</v>
      </c>
    </row>
    <row r="49" spans="9:9" x14ac:dyDescent="0.3">
      <c r="I49">
        <f>0.5*RavinnetaseN!J53</f>
        <v>2353.3950580379214</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D1:W51"/>
  <sheetViews>
    <sheetView topLeftCell="D7" workbookViewId="0">
      <selection activeCell="J31" sqref="J31"/>
    </sheetView>
  </sheetViews>
  <sheetFormatPr defaultRowHeight="14.4" x14ac:dyDescent="0.3"/>
  <cols>
    <col min="1" max="3" width="0" hidden="1" customWidth="1"/>
    <col min="7" max="7" width="16.5546875" customWidth="1"/>
    <col min="8" max="8" width="26.33203125" customWidth="1"/>
    <col min="9" max="9" width="13.21875" customWidth="1"/>
    <col min="10" max="10" width="10.6640625" customWidth="1"/>
  </cols>
  <sheetData>
    <row r="1" spans="4:19" x14ac:dyDescent="0.3">
      <c r="D1" t="str">
        <f>RavinnetaseN!D1</f>
        <v>&lt;-piilo</v>
      </c>
    </row>
    <row r="2" spans="4:19" x14ac:dyDescent="0.3">
      <c r="L2" t="s">
        <v>116</v>
      </c>
      <c r="M2" t="s">
        <v>116</v>
      </c>
      <c r="N2" t="s">
        <v>120</v>
      </c>
      <c r="O2" t="s">
        <v>120</v>
      </c>
      <c r="P2" t="s">
        <v>119</v>
      </c>
      <c r="Q2" t="s">
        <v>119</v>
      </c>
      <c r="R2" s="150" t="s">
        <v>71</v>
      </c>
    </row>
    <row r="3" spans="4:19" x14ac:dyDescent="0.3">
      <c r="G3" t="s">
        <v>446</v>
      </c>
      <c r="I3" t="s">
        <v>507</v>
      </c>
      <c r="L3" t="s">
        <v>117</v>
      </c>
      <c r="M3" t="s">
        <v>426</v>
      </c>
      <c r="N3" t="s">
        <v>117</v>
      </c>
      <c r="O3" t="s">
        <v>426</v>
      </c>
      <c r="P3" t="str">
        <f>RavinnetaseN!P3</f>
        <v>kg ka</v>
      </c>
      <c r="Q3" t="s">
        <v>426</v>
      </c>
      <c r="R3" s="150" t="s">
        <v>426</v>
      </c>
    </row>
    <row r="4" spans="4:19" x14ac:dyDescent="0.3">
      <c r="H4" s="15"/>
      <c r="I4" s="15" t="s">
        <v>425</v>
      </c>
      <c r="J4" s="15"/>
      <c r="K4" s="15"/>
      <c r="L4" s="15" t="s">
        <v>73</v>
      </c>
      <c r="M4" s="15" t="s">
        <v>118</v>
      </c>
      <c r="N4" s="15" t="s">
        <v>73</v>
      </c>
      <c r="O4" s="15" t="s">
        <v>118</v>
      </c>
      <c r="P4" s="15" t="s">
        <v>73</v>
      </c>
      <c r="Q4" s="15" t="s">
        <v>118</v>
      </c>
      <c r="R4" s="118" t="s">
        <v>118</v>
      </c>
    </row>
    <row r="5" spans="4:19" x14ac:dyDescent="0.3">
      <c r="H5" s="7" t="s">
        <v>502</v>
      </c>
      <c r="I5" s="173">
        <v>8</v>
      </c>
      <c r="J5" s="7"/>
      <c r="K5" s="7"/>
      <c r="L5" s="7"/>
      <c r="M5" s="7"/>
      <c r="N5" s="7"/>
      <c r="O5" s="7"/>
      <c r="P5" s="26">
        <f>Karja!U26</f>
        <v>60</v>
      </c>
      <c r="Q5" s="171">
        <f>P5*I5/1000</f>
        <v>0.48</v>
      </c>
      <c r="R5" s="122">
        <f>Q5</f>
        <v>0.48</v>
      </c>
    </row>
    <row r="6" spans="4:19" x14ac:dyDescent="0.3">
      <c r="H6" s="7" t="s">
        <v>370</v>
      </c>
      <c r="I6" s="173">
        <f>Karja!H9</f>
        <v>5</v>
      </c>
      <c r="J6" s="7"/>
      <c r="K6" s="7"/>
      <c r="L6" s="7">
        <f>310*Karja!D9</f>
        <v>62</v>
      </c>
      <c r="M6" s="171">
        <f>L6*I6/1000</f>
        <v>0.31</v>
      </c>
      <c r="N6" s="3">
        <f>55*0.2</f>
        <v>11</v>
      </c>
      <c r="O6" s="177">
        <f>N6*I6/1000</f>
        <v>5.5E-2</v>
      </c>
      <c r="P6" s="26">
        <f>0.2*365</f>
        <v>73</v>
      </c>
      <c r="Q6" s="171">
        <f>Karja!D29*P6*20/1000</f>
        <v>1.1242000000000001</v>
      </c>
      <c r="R6" s="122">
        <f>Q6+O6+M6</f>
        <v>1.4892000000000001</v>
      </c>
    </row>
    <row r="7" spans="4:19" x14ac:dyDescent="0.3">
      <c r="H7" t="str">
        <f>RavinnetaseN!H6</f>
        <v>Säilörehu, lypsyssä</v>
      </c>
      <c r="I7" s="81">
        <f>Karja!H6</f>
        <v>2.9</v>
      </c>
      <c r="L7">
        <f>RavinnetaseN!L6</f>
        <v>3339.4400000000005</v>
      </c>
      <c r="M7" s="1">
        <f>L7*I7/1000</f>
        <v>9.6843760000000021</v>
      </c>
      <c r="N7" s="3">
        <f>Karja!P25</f>
        <v>355.77536714645703</v>
      </c>
      <c r="O7" s="1">
        <f>N7*I7/1000</f>
        <v>1.0317485647247253</v>
      </c>
      <c r="P7" s="3">
        <f>Karja!P26</f>
        <v>1748.4182242990657</v>
      </c>
      <c r="Q7" s="1">
        <f>P7*I7/1000</f>
        <v>5.0704128504672905</v>
      </c>
      <c r="R7" s="35">
        <f>M7+O7+Q7</f>
        <v>15.786537415192019</v>
      </c>
    </row>
    <row r="8" spans="4:19" x14ac:dyDescent="0.3">
      <c r="H8" t="str">
        <f>RavinnetaseN!H8</f>
        <v>Kokovilja</v>
      </c>
      <c r="I8" s="81">
        <f>Karja!H8</f>
        <v>2.5</v>
      </c>
      <c r="L8">
        <f>RavinnetaseN!L8</f>
        <v>0</v>
      </c>
      <c r="M8" s="1">
        <f t="shared" ref="M8:M10" si="0">L8*I8/1000</f>
        <v>0</v>
      </c>
      <c r="N8" s="3">
        <f>Karja!O25</f>
        <v>39.530596349606341</v>
      </c>
      <c r="O8" s="1">
        <f t="shared" ref="O8:O10" si="1">N8*I8/1000</f>
        <v>9.8826490874015863E-2</v>
      </c>
      <c r="P8" s="3">
        <f>Karja!O26</f>
        <v>194.26869158878509</v>
      </c>
      <c r="Q8" s="1">
        <f t="shared" ref="Q8:Q10" si="2">P8*I8/1000</f>
        <v>0.4856717289719627</v>
      </c>
      <c r="R8" s="35">
        <f t="shared" ref="R8:R10" si="3">M8+O8+Q8</f>
        <v>0.58449821984597861</v>
      </c>
    </row>
    <row r="9" spans="4:19" x14ac:dyDescent="0.3">
      <c r="H9" t="str">
        <f>RavinnetaseN!H9</f>
        <v>Viljaseos</v>
      </c>
      <c r="I9" s="81">
        <f>Karja!H4</f>
        <v>3.6</v>
      </c>
      <c r="L9">
        <f>RavinnetaseN!L9</f>
        <v>2055.0400000000004</v>
      </c>
      <c r="M9" s="1">
        <f t="shared" si="0"/>
        <v>7.3981440000000021</v>
      </c>
      <c r="N9" s="3">
        <f>RavinnetaseN!N9</f>
        <v>21.923999999999999</v>
      </c>
      <c r="O9" s="1">
        <f t="shared" si="1"/>
        <v>7.8926400000000008E-2</v>
      </c>
      <c r="P9" s="3">
        <f>Karja!K26</f>
        <v>308.54439252336454</v>
      </c>
      <c r="Q9" s="1">
        <f t="shared" si="2"/>
        <v>1.1107598130841125</v>
      </c>
      <c r="R9" s="35">
        <f t="shared" si="3"/>
        <v>8.5878302130841142</v>
      </c>
    </row>
    <row r="10" spans="4:19" x14ac:dyDescent="0.3">
      <c r="H10" s="15" t="str">
        <f>RavinnetaseN!H10</f>
        <v>Rypsirouhe</v>
      </c>
      <c r="I10" s="82">
        <f>Karja!H5</f>
        <v>13.2</v>
      </c>
      <c r="J10" s="15"/>
      <c r="K10" s="15"/>
      <c r="L10" s="15">
        <f>RavinnetaseN!L10</f>
        <v>834.86000000000013</v>
      </c>
      <c r="M10" s="10">
        <f t="shared" si="0"/>
        <v>11.020152000000001</v>
      </c>
      <c r="N10" s="19">
        <f>RavinnetaseN!N10</f>
        <v>5.4809999999999999</v>
      </c>
      <c r="O10" s="10">
        <f t="shared" si="1"/>
        <v>7.2349200000000002E-2</v>
      </c>
      <c r="P10" s="19">
        <f>Karja!L26</f>
        <v>34.282710280373834</v>
      </c>
      <c r="Q10" s="10">
        <f t="shared" si="2"/>
        <v>0.45253177570093461</v>
      </c>
      <c r="R10" s="34">
        <f t="shared" si="3"/>
        <v>11.545032975700936</v>
      </c>
    </row>
    <row r="11" spans="4:19" x14ac:dyDescent="0.3">
      <c r="H11" t="str">
        <f>RavinnetaseN!H11</f>
        <v>yhteensä, kg/v</v>
      </c>
      <c r="L11">
        <f t="shared" ref="L11" si="4">SUM(L7:L10)</f>
        <v>6229.340000000002</v>
      </c>
      <c r="M11" s="1">
        <f>SUM(M6:M10)</f>
        <v>28.412672000000008</v>
      </c>
      <c r="N11" s="3">
        <f>SUM(N6:N10)</f>
        <v>433.71096349606336</v>
      </c>
      <c r="O11" s="1">
        <f>SUM(O6:O10)</f>
        <v>1.3368506555987412</v>
      </c>
      <c r="P11" s="3">
        <f>SUM(P5:P10)</f>
        <v>2418.5140186915892</v>
      </c>
      <c r="Q11" s="1">
        <f>SUM(Q5:Q10)</f>
        <v>8.7235761682243016</v>
      </c>
      <c r="R11" s="155">
        <f>SUM(R5:R10)</f>
        <v>38.473098823823051</v>
      </c>
    </row>
    <row r="14" spans="4:19" x14ac:dyDescent="0.3">
      <c r="G14" t="s">
        <v>427</v>
      </c>
      <c r="L14" t="s">
        <v>116</v>
      </c>
      <c r="M14" t="s">
        <v>116</v>
      </c>
      <c r="N14" t="s">
        <v>120</v>
      </c>
      <c r="O14" t="s">
        <v>120</v>
      </c>
      <c r="P14" t="s">
        <v>119</v>
      </c>
      <c r="Q14" t="s">
        <v>119</v>
      </c>
      <c r="R14" t="str">
        <f>RavinnetaseN!R14</f>
        <v>yht</v>
      </c>
    </row>
    <row r="15" spans="4:19" x14ac:dyDescent="0.3">
      <c r="H15" s="15"/>
      <c r="I15" s="15"/>
      <c r="J15" s="15"/>
      <c r="K15" s="15"/>
      <c r="L15" s="15" t="s">
        <v>117</v>
      </c>
      <c r="M15" s="15" t="s">
        <v>426</v>
      </c>
      <c r="N15" s="15" t="s">
        <v>117</v>
      </c>
      <c r="O15" s="15" t="s">
        <v>426</v>
      </c>
      <c r="P15" s="15" t="str">
        <f>RavinnetaseN!P15</f>
        <v>eritys ka</v>
      </c>
      <c r="Q15" s="15" t="s">
        <v>426</v>
      </c>
      <c r="R15" s="15" t="s">
        <v>459</v>
      </c>
    </row>
    <row r="16" spans="4:19" x14ac:dyDescent="0.3">
      <c r="G16" t="s">
        <v>428</v>
      </c>
      <c r="H16" t="str">
        <f>RavinnetaseN!H16</f>
        <v>Eritys sonnassa, /v</v>
      </c>
      <c r="L16" s="3">
        <f>Sulamaton_Diet*L11</f>
        <v>1731.7565200000006</v>
      </c>
      <c r="M16" s="1">
        <f>M11-M23-M22-M20</f>
        <v>19.214245716404925</v>
      </c>
      <c r="N16" s="3">
        <f>RavinnetaseN!N16</f>
        <v>131.04039868377967</v>
      </c>
      <c r="O16" s="1">
        <f>O11</f>
        <v>1.3368506555987412</v>
      </c>
      <c r="P16" s="3">
        <f>RavinnetaseN!P16</f>
        <v>468.85371183800629</v>
      </c>
      <c r="Q16" s="1">
        <f>Q11</f>
        <v>8.7235761682243016</v>
      </c>
      <c r="R16" s="1">
        <f>M16+O16+Q16</f>
        <v>29.274672540227968</v>
      </c>
      <c r="S16" t="s">
        <v>460</v>
      </c>
    </row>
    <row r="17" spans="7:23" x14ac:dyDescent="0.3">
      <c r="G17" t="s">
        <v>428</v>
      </c>
      <c r="H17" t="str">
        <f>RavinnetaseN!H17</f>
        <v>Eritys virtsassa, /v</v>
      </c>
      <c r="L17" s="3">
        <f>RavinnetaseN!L17</f>
        <v>340.37062576660003</v>
      </c>
      <c r="M17">
        <v>0</v>
      </c>
      <c r="N17" s="3">
        <f>RavinnetaseN!N17</f>
        <v>30.355738016870568</v>
      </c>
      <c r="O17">
        <v>0</v>
      </c>
      <c r="P17" s="3">
        <f>RavinnetaseN!P17</f>
        <v>128.33464126406147</v>
      </c>
      <c r="Q17">
        <v>0</v>
      </c>
      <c r="R17">
        <v>0</v>
      </c>
      <c r="S17" t="s">
        <v>461</v>
      </c>
    </row>
    <row r="19" spans="7:23" x14ac:dyDescent="0.3">
      <c r="H19" t="str">
        <f>RavinnetaseN!H19</f>
        <v>Pidättyminen kasvuun</v>
      </c>
      <c r="M19" s="152" t="s">
        <v>388</v>
      </c>
      <c r="S19" t="str">
        <f>RavinnetaseN!S19</f>
        <v>Hiehoilla pidättyminen kasvuun pitää kuitenkin huomioida, koska se vaikuttaa virtsan N pooliin. Pidättynyt poistuu systeemistä teuraiden mukana</v>
      </c>
    </row>
    <row r="20" spans="7:23" x14ac:dyDescent="0.3">
      <c r="G20" t="s">
        <v>428</v>
      </c>
      <c r="H20" t="str">
        <f>RavinnetaseN!H20</f>
        <v>Poiston mukana teuraaksi, le</v>
      </c>
      <c r="M20" s="153">
        <f>Karja!D23*Elopaino*Funktiot!C16/100</f>
        <v>1.5242499999999999</v>
      </c>
    </row>
    <row r="21" spans="7:23" x14ac:dyDescent="0.3">
      <c r="G21" t="s">
        <v>428</v>
      </c>
      <c r="H21" t="str">
        <f>RavinnetaseN!H21</f>
        <v>Poiston mukana teuraaksi, hi</v>
      </c>
      <c r="M21" s="153">
        <v>0</v>
      </c>
    </row>
    <row r="22" spans="7:23" x14ac:dyDescent="0.3">
      <c r="G22" t="s">
        <v>428</v>
      </c>
      <c r="H22" t="str">
        <f>RavinnetaseN!H22</f>
        <v>Välitysvasikoiden mukana</v>
      </c>
      <c r="M22" s="153">
        <f>VasikanPaino*S22*Funktiot!C16/100</f>
        <v>0.27436500000000003</v>
      </c>
      <c r="S22" s="93">
        <f>RavinnetaseN!S22</f>
        <v>0.58500000000000008</v>
      </c>
      <c r="T22" s="81" t="str">
        <f>RavinnetaseN!T22</f>
        <v>kpl vasikoita lehmää kohti lähtee pois tilalta</v>
      </c>
      <c r="U22" s="81"/>
      <c r="V22" s="81"/>
      <c r="W22" s="81"/>
    </row>
    <row r="23" spans="7:23" x14ac:dyDescent="0.3">
      <c r="G23" t="s">
        <v>428</v>
      </c>
      <c r="H23" s="15" t="str">
        <f>RavinnetaseN!H23</f>
        <v>maidossa kg</v>
      </c>
      <c r="I23" s="15"/>
      <c r="J23" s="15"/>
      <c r="K23" s="15"/>
      <c r="L23" s="15"/>
      <c r="M23" s="154">
        <f>Funktiot!C18*maito_vuosituotos*Funktiot!C43/1000</f>
        <v>7.3998112835950831</v>
      </c>
      <c r="N23" s="15"/>
      <c r="O23" s="15"/>
      <c r="P23" s="15"/>
      <c r="Q23" s="15"/>
      <c r="R23" s="15"/>
    </row>
    <row r="24" spans="7:23" x14ac:dyDescent="0.3">
      <c r="G24">
        <f>RavinnetaseN!G24</f>
        <v>0</v>
      </c>
      <c r="H24" t="str">
        <f>RavinnetaseN!H24</f>
        <v>yhteensä /le</v>
      </c>
      <c r="L24" s="3">
        <f>L16+L17</f>
        <v>2072.1271457666007</v>
      </c>
      <c r="M24" s="156">
        <f>M20+M21+M22+M23</f>
        <v>9.198426283595083</v>
      </c>
      <c r="P24" s="3">
        <f>RavinnetaseN!P24</f>
        <v>0</v>
      </c>
      <c r="R24" s="1">
        <f>R17+R16</f>
        <v>29.274672540227968</v>
      </c>
    </row>
    <row r="26" spans="7:23" x14ac:dyDescent="0.3">
      <c r="G26" s="12" t="s">
        <v>462</v>
      </c>
    </row>
    <row r="27" spans="7:23" x14ac:dyDescent="0.3">
      <c r="H27" t="s">
        <v>463</v>
      </c>
      <c r="I27" s="3">
        <f>R24</f>
        <v>29.274672540227968</v>
      </c>
    </row>
    <row r="28" spans="7:23" x14ac:dyDescent="0.3">
      <c r="H28" t="s">
        <v>134</v>
      </c>
      <c r="I28">
        <f>Lähtötiedot!D5</f>
        <v>100</v>
      </c>
    </row>
    <row r="29" spans="7:23" x14ac:dyDescent="0.3">
      <c r="H29" t="s">
        <v>678</v>
      </c>
      <c r="I29" s="1">
        <f>I28*I27</f>
        <v>2927.4672540227966</v>
      </c>
      <c r="M29" s="175" t="s">
        <v>464</v>
      </c>
      <c r="N29" s="157">
        <f>R11</f>
        <v>38.473098823823051</v>
      </c>
      <c r="O29" s="50"/>
    </row>
    <row r="30" spans="7:23" x14ac:dyDescent="0.3">
      <c r="H30" t="s">
        <v>847</v>
      </c>
      <c r="I30">
        <f>I29/Pelto!D48</f>
        <v>5854.9345080455932</v>
      </c>
      <c r="J30" t="s">
        <v>313</v>
      </c>
      <c r="M30" s="175" t="s">
        <v>465</v>
      </c>
      <c r="N30" s="157">
        <f>R24+M24</f>
        <v>38.473098823823051</v>
      </c>
      <c r="O30" s="50" t="str">
        <f>IF(N29=N30,"ok","tase heittää")</f>
        <v>ok</v>
      </c>
    </row>
    <row r="33" spans="7:20" x14ac:dyDescent="0.3">
      <c r="G33" t="s">
        <v>472</v>
      </c>
      <c r="H33" s="15"/>
      <c r="I33" s="15" t="s">
        <v>9</v>
      </c>
      <c r="J33" s="15" t="s">
        <v>10</v>
      </c>
      <c r="S33" t="s">
        <v>9</v>
      </c>
      <c r="T33" t="s">
        <v>10</v>
      </c>
    </row>
    <row r="34" spans="7:20" x14ac:dyDescent="0.3">
      <c r="G34" t="s">
        <v>671</v>
      </c>
      <c r="H34" t="s">
        <v>466</v>
      </c>
      <c r="I34" s="3">
        <f>Pelto!V26*Pelto!D26*Lähtötiedot!D5</f>
        <v>782.85693031319715</v>
      </c>
      <c r="K34" t="s">
        <v>515</v>
      </c>
      <c r="S34">
        <v>9.0445947374551654</v>
      </c>
    </row>
    <row r="35" spans="7:20" x14ac:dyDescent="0.3">
      <c r="G35" t="s">
        <v>671</v>
      </c>
      <c r="H35" t="s">
        <v>471</v>
      </c>
      <c r="I35" s="3">
        <f>R6*I28</f>
        <v>148.92000000000002</v>
      </c>
      <c r="S35">
        <v>1.4892000000000001</v>
      </c>
    </row>
    <row r="36" spans="7:20" x14ac:dyDescent="0.3">
      <c r="G36" t="s">
        <v>671</v>
      </c>
      <c r="H36" t="s">
        <v>508</v>
      </c>
      <c r="I36" s="3">
        <f>R5*I28</f>
        <v>48</v>
      </c>
      <c r="S36">
        <v>0.23950079999999999</v>
      </c>
    </row>
    <row r="37" spans="7:20" x14ac:dyDescent="0.3">
      <c r="G37" t="s">
        <v>670</v>
      </c>
      <c r="H37" t="str">
        <f>RavinnetaseN!H45</f>
        <v>Rypsirouhe</v>
      </c>
      <c r="I37" s="3">
        <f>I48*I49</f>
        <v>1141.4552980373835</v>
      </c>
      <c r="S37">
        <v>11.352948557242991</v>
      </c>
    </row>
    <row r="38" spans="7:20" x14ac:dyDescent="0.3">
      <c r="G38" t="s">
        <v>671</v>
      </c>
      <c r="H38" t="s">
        <v>542</v>
      </c>
      <c r="I38" s="3">
        <f>I50*I51/1000</f>
        <v>0</v>
      </c>
      <c r="K38" t="s">
        <v>721</v>
      </c>
    </row>
    <row r="39" spans="7:20" x14ac:dyDescent="0.3">
      <c r="G39" t="s">
        <v>671</v>
      </c>
      <c r="H39" t="s">
        <v>467</v>
      </c>
      <c r="J39" s="3">
        <f>M23*I28</f>
        <v>739.98112835950826</v>
      </c>
      <c r="T39">
        <v>7.3744615719415334</v>
      </c>
    </row>
    <row r="40" spans="7:20" x14ac:dyDescent="0.3">
      <c r="G40" t="s">
        <v>671</v>
      </c>
      <c r="H40" t="s">
        <v>468</v>
      </c>
      <c r="J40" s="3">
        <f>M22*I28</f>
        <v>27.436500000000002</v>
      </c>
      <c r="T40">
        <v>0.27436500000000003</v>
      </c>
    </row>
    <row r="41" spans="7:20" x14ac:dyDescent="0.3">
      <c r="G41" t="s">
        <v>671</v>
      </c>
      <c r="H41" s="15" t="s">
        <v>469</v>
      </c>
      <c r="I41" s="15"/>
      <c r="J41" s="19">
        <f>M20*I28</f>
        <v>152.42499999999998</v>
      </c>
      <c r="T41">
        <v>1.5242499999999999</v>
      </c>
    </row>
    <row r="42" spans="7:20" x14ac:dyDescent="0.3">
      <c r="H42" s="178" t="s">
        <v>371</v>
      </c>
      <c r="J42" s="3">
        <f>SUM(I34:I38)-SUM(J39:J41)</f>
        <v>1201.3895999910728</v>
      </c>
      <c r="K42" t="s">
        <v>509</v>
      </c>
      <c r="N42">
        <v>12.953167522756624</v>
      </c>
      <c r="T42">
        <v>12.953167522756624</v>
      </c>
    </row>
    <row r="43" spans="7:20" x14ac:dyDescent="0.3">
      <c r="H43" s="85" t="s">
        <v>674</v>
      </c>
      <c r="J43" s="180">
        <f>J42/Pelto!D31</f>
        <v>7.881779227203733</v>
      </c>
      <c r="K43" t="s">
        <v>511</v>
      </c>
      <c r="N43">
        <v>8.0321560258397788</v>
      </c>
      <c r="T43">
        <v>8.0321560258397788</v>
      </c>
    </row>
    <row r="44" spans="7:20" x14ac:dyDescent="0.3">
      <c r="H44" t="s">
        <v>519</v>
      </c>
      <c r="J44" s="1">
        <f>I35+I36+I37-J39-J40-J41</f>
        <v>418.53266967787533</v>
      </c>
      <c r="K44" t="s">
        <v>509</v>
      </c>
      <c r="N44">
        <v>3.9085727853014576</v>
      </c>
      <c r="T44">
        <v>3.9085727853014576</v>
      </c>
    </row>
    <row r="45" spans="7:20" x14ac:dyDescent="0.3">
      <c r="H45" t="s">
        <v>673</v>
      </c>
      <c r="J45" s="180">
        <f>J44/Pelto!D31</f>
        <v>2.7458054421294404</v>
      </c>
      <c r="K45" t="s">
        <v>511</v>
      </c>
      <c r="N45">
        <v>2.4236748575001297</v>
      </c>
      <c r="T45">
        <v>2.4236748575001297</v>
      </c>
    </row>
    <row r="48" spans="7:20" x14ac:dyDescent="0.3">
      <c r="H48" s="4" t="str">
        <f>RavinnetaseN!H56</f>
        <v>rouheen määrä/karja</v>
      </c>
      <c r="I48" s="179">
        <f>Karja!L32*1000</f>
        <v>86473.886214953294</v>
      </c>
      <c r="J48" s="5" t="s">
        <v>117</v>
      </c>
    </row>
    <row r="49" spans="8:10" x14ac:dyDescent="0.3">
      <c r="H49" s="9" t="s">
        <v>470</v>
      </c>
      <c r="I49" s="15">
        <f>Karja!H5/1000</f>
        <v>1.32E-2</v>
      </c>
      <c r="J49" s="11" t="s">
        <v>18</v>
      </c>
    </row>
    <row r="50" spans="8:10" x14ac:dyDescent="0.3">
      <c r="H50" t="s">
        <v>719</v>
      </c>
      <c r="I50" s="3">
        <f>Pelto!D5*1000</f>
        <v>0</v>
      </c>
      <c r="J50" t="s">
        <v>117</v>
      </c>
    </row>
    <row r="51" spans="8:10" x14ac:dyDescent="0.3">
      <c r="H51" t="s">
        <v>720</v>
      </c>
      <c r="I51">
        <f>Karja!H4</f>
        <v>3.6</v>
      </c>
    </row>
  </sheetData>
  <pageMargins left="0.7" right="0.7" top="0.75" bottom="0.75" header="0.3" footer="0.3"/>
  <pageSetup paperSize="9" orientation="portrait" horizontalDpi="300" verticalDpi="300" r:id="rId1"/>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ul8"/>
  <dimension ref="A1:K32"/>
  <sheetViews>
    <sheetView workbookViewId="0">
      <selection activeCell="C28" sqref="C28"/>
    </sheetView>
  </sheetViews>
  <sheetFormatPr defaultRowHeight="14.4" x14ac:dyDescent="0.3"/>
  <cols>
    <col min="2" max="2" width="19.88671875" customWidth="1"/>
  </cols>
  <sheetData>
    <row r="1" spans="1:4" x14ac:dyDescent="0.3">
      <c r="A1" t="s">
        <v>256</v>
      </c>
    </row>
    <row r="4" spans="1:4" x14ac:dyDescent="0.3">
      <c r="B4" t="s">
        <v>231</v>
      </c>
      <c r="C4">
        <f>Karja!D30*Karja!D22</f>
        <v>911924</v>
      </c>
      <c r="D4" t="s">
        <v>227</v>
      </c>
    </row>
    <row r="5" spans="1:4" x14ac:dyDescent="0.3">
      <c r="B5" t="s">
        <v>228</v>
      </c>
      <c r="C5" s="22">
        <v>0.38</v>
      </c>
      <c r="D5" t="s">
        <v>19</v>
      </c>
    </row>
    <row r="6" spans="1:4" x14ac:dyDescent="0.3">
      <c r="B6" t="s">
        <v>230</v>
      </c>
      <c r="C6" s="22">
        <v>0.05</v>
      </c>
      <c r="D6" t="s">
        <v>19</v>
      </c>
    </row>
    <row r="7" spans="1:4" x14ac:dyDescent="0.3">
      <c r="B7" t="s">
        <v>229</v>
      </c>
      <c r="C7" s="22">
        <v>500</v>
      </c>
      <c r="D7" t="s">
        <v>20</v>
      </c>
    </row>
    <row r="10" spans="1:4" x14ac:dyDescent="0.3">
      <c r="B10" t="s">
        <v>232</v>
      </c>
    </row>
    <row r="11" spans="1:4" x14ac:dyDescent="0.3">
      <c r="B11" t="s">
        <v>233</v>
      </c>
      <c r="C11" s="3">
        <f>C5*C4</f>
        <v>346531.12</v>
      </c>
      <c r="D11" t="s">
        <v>236</v>
      </c>
    </row>
    <row r="12" spans="1:4" x14ac:dyDescent="0.3">
      <c r="B12" t="s">
        <v>234</v>
      </c>
      <c r="C12" s="3">
        <f>C6*C4</f>
        <v>45596.200000000004</v>
      </c>
      <c r="D12" t="s">
        <v>236</v>
      </c>
    </row>
    <row r="13" spans="1:4" x14ac:dyDescent="0.3">
      <c r="B13" s="15" t="s">
        <v>235</v>
      </c>
      <c r="C13" s="19">
        <f>C7*Pelto!D31</f>
        <v>76213.096393547254</v>
      </c>
      <c r="D13" t="s">
        <v>236</v>
      </c>
    </row>
    <row r="14" spans="1:4" x14ac:dyDescent="0.3">
      <c r="B14" t="s">
        <v>4</v>
      </c>
      <c r="C14" s="3">
        <f>SUM(C11:C13)</f>
        <v>468340.41639354726</v>
      </c>
      <c r="D14" t="s">
        <v>236</v>
      </c>
    </row>
    <row r="17" spans="2:11" x14ac:dyDescent="0.3">
      <c r="B17" s="12" t="s">
        <v>237</v>
      </c>
      <c r="F17" t="s">
        <v>241</v>
      </c>
      <c r="G17" t="s">
        <v>242</v>
      </c>
      <c r="H17" t="s">
        <v>243</v>
      </c>
      <c r="I17" t="s">
        <v>244</v>
      </c>
      <c r="J17" t="s">
        <v>245</v>
      </c>
      <c r="K17" t="s">
        <v>246</v>
      </c>
    </row>
    <row r="18" spans="2:11" x14ac:dyDescent="0.3">
      <c r="B18" t="s">
        <v>240</v>
      </c>
      <c r="C18" s="22">
        <v>0.2</v>
      </c>
      <c r="D18" t="s">
        <v>21</v>
      </c>
      <c r="F18">
        <v>0.3</v>
      </c>
      <c r="G18">
        <f>C18*F18</f>
        <v>0.06</v>
      </c>
      <c r="H18">
        <v>850</v>
      </c>
      <c r="I18">
        <f>H18*G18</f>
        <v>51</v>
      </c>
      <c r="J18">
        <f>(subsidy/(silageyield*1000)*DM)*weight</f>
        <v>19.396180324660723</v>
      </c>
      <c r="K18">
        <f>I18-J18</f>
        <v>31.603819675339277</v>
      </c>
    </row>
    <row r="19" spans="2:11" x14ac:dyDescent="0.3">
      <c r="B19" t="s">
        <v>239</v>
      </c>
      <c r="C19" s="22">
        <v>0.35</v>
      </c>
      <c r="D19" t="s">
        <v>21</v>
      </c>
    </row>
    <row r="20" spans="2:11" x14ac:dyDescent="0.3">
      <c r="B20" t="s">
        <v>247</v>
      </c>
      <c r="C20" s="22">
        <v>0.5</v>
      </c>
      <c r="D20" t="s">
        <v>21</v>
      </c>
    </row>
    <row r="21" spans="2:11" x14ac:dyDescent="0.3">
      <c r="B21" t="s">
        <v>248</v>
      </c>
      <c r="C21" s="22"/>
    </row>
    <row r="23" spans="2:11" x14ac:dyDescent="0.3">
      <c r="B23" t="s">
        <v>238</v>
      </c>
      <c r="C23" s="3">
        <f>1000*C18*Pelto!D3</f>
        <v>98790.126735452519</v>
      </c>
    </row>
    <row r="24" spans="2:11" x14ac:dyDescent="0.3">
      <c r="B24" t="s">
        <v>239</v>
      </c>
      <c r="C24" s="3">
        <f>C19*Pelto!D6*1000</f>
        <v>80379.0665771028</v>
      </c>
    </row>
    <row r="25" spans="2:11" x14ac:dyDescent="0.3">
      <c r="B25" s="15" t="s">
        <v>247</v>
      </c>
      <c r="C25" s="19">
        <f>C20*Pelto!D7*1000</f>
        <v>43236.943107476647</v>
      </c>
      <c r="D25" s="15"/>
    </row>
    <row r="26" spans="2:11" x14ac:dyDescent="0.3">
      <c r="B26" t="s">
        <v>71</v>
      </c>
      <c r="C26" s="3">
        <f>SUM(C23:C25)</f>
        <v>222406.13642003195</v>
      </c>
    </row>
    <row r="27" spans="2:11" x14ac:dyDescent="0.3">
      <c r="C27" s="3"/>
    </row>
    <row r="28" spans="2:11" x14ac:dyDescent="0.3">
      <c r="B28" t="s">
        <v>249</v>
      </c>
      <c r="C28">
        <f>C26/C4</f>
        <v>0.24388670154533926</v>
      </c>
    </row>
    <row r="30" spans="2:11" x14ac:dyDescent="0.3">
      <c r="B30" t="s">
        <v>250</v>
      </c>
      <c r="C30" s="3">
        <f>C14-C26</f>
        <v>245934.27997351531</v>
      </c>
      <c r="D30" t="s">
        <v>236</v>
      </c>
      <c r="E30" t="s">
        <v>251</v>
      </c>
    </row>
    <row r="31" spans="2:11" x14ac:dyDescent="0.3">
      <c r="C31" s="21">
        <f>C30/Karja!D22</f>
        <v>2459.3427997351532</v>
      </c>
      <c r="D31" s="12" t="s">
        <v>254</v>
      </c>
      <c r="E31" s="12" t="s">
        <v>252</v>
      </c>
      <c r="F31" s="12"/>
    </row>
    <row r="32" spans="2:11" x14ac:dyDescent="0.3">
      <c r="C32" s="49">
        <f>C30/C4</f>
        <v>0.26968725461059839</v>
      </c>
      <c r="D32" t="s">
        <v>255</v>
      </c>
      <c r="E32" t="s">
        <v>253</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ul7"/>
  <dimension ref="A1:J51"/>
  <sheetViews>
    <sheetView workbookViewId="0">
      <pane ySplit="1" topLeftCell="A2" activePane="bottomLeft" state="frozen"/>
      <selection pane="bottomLeft" activeCell="C3" sqref="C3"/>
    </sheetView>
  </sheetViews>
  <sheetFormatPr defaultRowHeight="14.4" x14ac:dyDescent="0.3"/>
  <cols>
    <col min="1" max="1" width="14" customWidth="1"/>
    <col min="2" max="2" width="34.88671875" customWidth="1"/>
    <col min="3" max="3" width="12.33203125" customWidth="1"/>
    <col min="4" max="4" width="47.44140625" customWidth="1"/>
  </cols>
  <sheetData>
    <row r="1" spans="1:5" x14ac:dyDescent="0.3">
      <c r="A1" t="s">
        <v>22</v>
      </c>
      <c r="B1" t="s">
        <v>56</v>
      </c>
      <c r="C1" t="s">
        <v>54</v>
      </c>
      <c r="D1" t="s">
        <v>55</v>
      </c>
      <c r="E1" t="s">
        <v>52</v>
      </c>
    </row>
    <row r="2" spans="1:5" x14ac:dyDescent="0.3">
      <c r="A2" t="s">
        <v>51</v>
      </c>
      <c r="B2" t="s">
        <v>53</v>
      </c>
      <c r="C2" s="66">
        <f>(POWER(Elopaino,0.75)*0.515+32.4)</f>
        <v>98.696751157964741</v>
      </c>
      <c r="D2" s="25" t="s">
        <v>757</v>
      </c>
      <c r="E2" t="s">
        <v>756</v>
      </c>
    </row>
    <row r="3" spans="1:5" x14ac:dyDescent="0.3">
      <c r="A3" t="s">
        <v>51</v>
      </c>
      <c r="B3" t="s">
        <v>222</v>
      </c>
      <c r="C3" s="49">
        <f>(38.3 *Lähtötiedot!D22+ 24.2 *Lähtötiedot!D21+ 16.54 * Lähtötiedot!D23+ 20.7)/ 3140</f>
        <v>1.053668789808917</v>
      </c>
      <c r="D3" t="s">
        <v>223</v>
      </c>
    </row>
    <row r="4" spans="1:5" x14ac:dyDescent="0.3">
      <c r="A4" t="s">
        <v>84</v>
      </c>
      <c r="B4" t="s">
        <v>407</v>
      </c>
      <c r="C4">
        <f>1-0.722</f>
        <v>0.27800000000000002</v>
      </c>
      <c r="D4" t="s">
        <v>595</v>
      </c>
      <c r="E4" t="s">
        <v>594</v>
      </c>
    </row>
    <row r="5" spans="1:5" x14ac:dyDescent="0.3">
      <c r="A5" t="s">
        <v>84</v>
      </c>
      <c r="B5" t="s">
        <v>408</v>
      </c>
      <c r="C5">
        <v>0.3</v>
      </c>
      <c r="E5" t="s">
        <v>596</v>
      </c>
    </row>
    <row r="6" spans="1:5" x14ac:dyDescent="0.3">
      <c r="A6" t="s">
        <v>84</v>
      </c>
      <c r="B6" t="s">
        <v>406</v>
      </c>
      <c r="C6">
        <f>1-0.69</f>
        <v>0.31000000000000005</v>
      </c>
      <c r="E6" t="s">
        <v>837</v>
      </c>
    </row>
    <row r="7" spans="1:5" x14ac:dyDescent="0.3">
      <c r="A7" t="s">
        <v>84</v>
      </c>
      <c r="B7" t="s">
        <v>409</v>
      </c>
      <c r="C7">
        <f>1-0.722</f>
        <v>0.27800000000000002</v>
      </c>
      <c r="E7" t="s">
        <v>597</v>
      </c>
    </row>
    <row r="8" spans="1:5" x14ac:dyDescent="0.3">
      <c r="A8" t="s">
        <v>84</v>
      </c>
      <c r="B8" t="s">
        <v>129</v>
      </c>
      <c r="C8">
        <v>0.31</v>
      </c>
      <c r="D8" t="s">
        <v>85</v>
      </c>
      <c r="E8" t="s">
        <v>130</v>
      </c>
    </row>
    <row r="9" spans="1:5" x14ac:dyDescent="0.3">
      <c r="A9" t="s">
        <v>84</v>
      </c>
      <c r="B9" t="s">
        <v>87</v>
      </c>
      <c r="C9">
        <v>0.14000000000000001</v>
      </c>
      <c r="D9" t="s">
        <v>85</v>
      </c>
      <c r="E9" t="s">
        <v>598</v>
      </c>
    </row>
    <row r="10" spans="1:5" x14ac:dyDescent="0.3">
      <c r="A10" t="s">
        <v>84</v>
      </c>
      <c r="B10" t="s">
        <v>122</v>
      </c>
      <c r="C10">
        <v>4.7E-2</v>
      </c>
      <c r="D10" t="s">
        <v>85</v>
      </c>
      <c r="E10" t="s">
        <v>822</v>
      </c>
    </row>
    <row r="11" spans="1:5" x14ac:dyDescent="0.3">
      <c r="A11" t="s">
        <v>84</v>
      </c>
      <c r="B11" t="s">
        <v>823</v>
      </c>
      <c r="C11" t="s">
        <v>824</v>
      </c>
      <c r="D11" t="s">
        <v>826</v>
      </c>
      <c r="E11" t="s">
        <v>825</v>
      </c>
    </row>
    <row r="12" spans="1:5" x14ac:dyDescent="0.3">
      <c r="A12" t="s">
        <v>84</v>
      </c>
      <c r="B12" t="s">
        <v>132</v>
      </c>
      <c r="C12">
        <v>0.19</v>
      </c>
      <c r="D12" t="s">
        <v>85</v>
      </c>
      <c r="E12" t="s">
        <v>189</v>
      </c>
    </row>
    <row r="13" spans="1:5" x14ac:dyDescent="0.3">
      <c r="A13" t="s">
        <v>447</v>
      </c>
      <c r="B13" t="s">
        <v>124</v>
      </c>
      <c r="C13">
        <v>2.5</v>
      </c>
      <c r="D13" t="s">
        <v>125</v>
      </c>
      <c r="E13" t="s">
        <v>189</v>
      </c>
    </row>
    <row r="14" spans="1:5" x14ac:dyDescent="0.3">
      <c r="A14" t="s">
        <v>447</v>
      </c>
      <c r="B14" t="s">
        <v>124</v>
      </c>
      <c r="C14">
        <v>2.14</v>
      </c>
      <c r="D14" t="s">
        <v>448</v>
      </c>
      <c r="E14" t="s">
        <v>449</v>
      </c>
    </row>
    <row r="15" spans="1:5" x14ac:dyDescent="0.3">
      <c r="A15" t="s">
        <v>447</v>
      </c>
      <c r="B15" t="s">
        <v>624</v>
      </c>
      <c r="C15">
        <f>25*0.7</f>
        <v>17.5</v>
      </c>
      <c r="D15" t="s">
        <v>220</v>
      </c>
      <c r="E15" t="s">
        <v>626</v>
      </c>
    </row>
    <row r="16" spans="1:5" x14ac:dyDescent="0.3">
      <c r="A16" t="s">
        <v>447</v>
      </c>
      <c r="B16" t="s">
        <v>450</v>
      </c>
      <c r="C16">
        <v>0.67</v>
      </c>
      <c r="D16" t="s">
        <v>451</v>
      </c>
      <c r="E16" t="s">
        <v>449</v>
      </c>
    </row>
    <row r="17" spans="1:10" x14ac:dyDescent="0.3">
      <c r="A17" t="s">
        <v>447</v>
      </c>
      <c r="B17" t="s">
        <v>453</v>
      </c>
      <c r="C17">
        <v>70</v>
      </c>
      <c r="D17" t="s">
        <v>0</v>
      </c>
      <c r="E17" t="s">
        <v>454</v>
      </c>
    </row>
    <row r="18" spans="1:10" x14ac:dyDescent="0.3">
      <c r="A18" t="s">
        <v>447</v>
      </c>
      <c r="B18" t="s">
        <v>456</v>
      </c>
      <c r="C18">
        <v>0.95</v>
      </c>
      <c r="D18" t="s">
        <v>31</v>
      </c>
      <c r="E18" t="s">
        <v>454</v>
      </c>
    </row>
    <row r="19" spans="1:10" x14ac:dyDescent="0.3">
      <c r="A19" t="s">
        <v>376</v>
      </c>
      <c r="B19" t="s">
        <v>179</v>
      </c>
      <c r="C19">
        <v>2.8</v>
      </c>
      <c r="D19" t="s">
        <v>85</v>
      </c>
      <c r="E19" t="s">
        <v>188</v>
      </c>
    </row>
    <row r="20" spans="1:10" x14ac:dyDescent="0.3">
      <c r="A20" t="s">
        <v>376</v>
      </c>
      <c r="B20" t="s">
        <v>180</v>
      </c>
      <c r="C20">
        <v>1.7</v>
      </c>
      <c r="D20" t="s">
        <v>85</v>
      </c>
      <c r="E20" t="s">
        <v>188</v>
      </c>
    </row>
    <row r="21" spans="1:10" x14ac:dyDescent="0.3">
      <c r="A21" t="s">
        <v>376</v>
      </c>
      <c r="B21" t="s">
        <v>377</v>
      </c>
      <c r="C21">
        <v>0.5</v>
      </c>
      <c r="D21" t="s">
        <v>85</v>
      </c>
      <c r="E21" t="s">
        <v>402</v>
      </c>
    </row>
    <row r="22" spans="1:10" x14ac:dyDescent="0.3">
      <c r="A22" t="s">
        <v>376</v>
      </c>
      <c r="B22" t="s">
        <v>390</v>
      </c>
      <c r="C22" s="2">
        <v>28</v>
      </c>
      <c r="D22" t="s">
        <v>85</v>
      </c>
      <c r="E22" t="s">
        <v>394</v>
      </c>
    </row>
    <row r="23" spans="1:10" x14ac:dyDescent="0.3">
      <c r="A23" t="s">
        <v>376</v>
      </c>
      <c r="B23" t="s">
        <v>392</v>
      </c>
      <c r="C23" s="2">
        <v>7</v>
      </c>
      <c r="D23" t="s">
        <v>85</v>
      </c>
      <c r="E23" t="s">
        <v>391</v>
      </c>
    </row>
    <row r="24" spans="1:10" x14ac:dyDescent="0.3">
      <c r="A24" t="s">
        <v>101</v>
      </c>
      <c r="B24" t="s">
        <v>104</v>
      </c>
      <c r="C24" s="207">
        <f>((-0.0577*(lannoitus*lannoitus) + 48.2*lannoitus + 3927)*0.7)/1000</f>
        <v>8.216823999999999</v>
      </c>
      <c r="D24" s="86" t="s">
        <v>319</v>
      </c>
      <c r="E24" t="s">
        <v>374</v>
      </c>
    </row>
    <row r="25" spans="1:10" x14ac:dyDescent="0.3">
      <c r="A25" t="s">
        <v>101</v>
      </c>
      <c r="B25" t="s">
        <v>691</v>
      </c>
      <c r="C25" s="208">
        <f>lannoitus+C28</f>
        <v>224</v>
      </c>
      <c r="D25" s="86"/>
      <c r="E25" t="s">
        <v>695</v>
      </c>
    </row>
    <row r="26" spans="1:10" x14ac:dyDescent="0.3">
      <c r="A26" s="2" t="s">
        <v>101</v>
      </c>
      <c r="B26" s="2" t="s">
        <v>324</v>
      </c>
      <c r="C26" s="207">
        <f>((-0.0577*(lannoitusA*lannoitusA) + 48.2*lannoitusA + 3927)*0.7)/1000</f>
        <v>8.2800513600000016</v>
      </c>
      <c r="D26" s="2" t="s">
        <v>348</v>
      </c>
      <c r="E26" s="2" t="s">
        <v>694</v>
      </c>
    </row>
    <row r="27" spans="1:10" x14ac:dyDescent="0.3">
      <c r="A27" t="s">
        <v>101</v>
      </c>
      <c r="B27" t="s">
        <v>105</v>
      </c>
      <c r="C27">
        <f>Lähtötiedot!D37</f>
        <v>6.5</v>
      </c>
      <c r="D27" t="s">
        <v>103</v>
      </c>
      <c r="E27" t="s">
        <v>102</v>
      </c>
    </row>
    <row r="28" spans="1:10" x14ac:dyDescent="0.3">
      <c r="A28" t="s">
        <v>101</v>
      </c>
      <c r="B28" t="s">
        <v>667</v>
      </c>
      <c r="C28" s="1">
        <f>1000*silageyield*Lähtötiedot!D25*0.026+4</f>
        <v>4</v>
      </c>
      <c r="D28" t="s">
        <v>692</v>
      </c>
      <c r="E28" t="s">
        <v>693</v>
      </c>
    </row>
    <row r="29" spans="1:10" x14ac:dyDescent="0.3">
      <c r="A29" t="s">
        <v>84</v>
      </c>
      <c r="B29" t="s">
        <v>169</v>
      </c>
      <c r="D29" t="s">
        <v>85</v>
      </c>
      <c r="E29" t="s">
        <v>225</v>
      </c>
    </row>
    <row r="30" spans="1:10" x14ac:dyDescent="0.3">
      <c r="A30" s="4" t="s">
        <v>84</v>
      </c>
      <c r="B30" s="67" t="s">
        <v>204</v>
      </c>
      <c r="C30" s="285">
        <f>-17.7+6.3 *Karja!D11 + 0.108*Karja!D13</f>
        <v>162.78672</v>
      </c>
      <c r="D30" s="286" t="s">
        <v>194</v>
      </c>
      <c r="E30" s="67" t="s">
        <v>195</v>
      </c>
      <c r="F30" s="67"/>
      <c r="G30" s="5"/>
      <c r="H30" t="s">
        <v>811</v>
      </c>
    </row>
    <row r="31" spans="1:10" x14ac:dyDescent="0.3">
      <c r="A31" s="9" t="s">
        <v>84</v>
      </c>
      <c r="B31" s="15" t="s">
        <v>205</v>
      </c>
      <c r="C31" s="287">
        <f>16.9-12.3*Karja!D11+0.833*Karja!D13</f>
        <v>215.51072000000002</v>
      </c>
      <c r="D31" s="288" t="s">
        <v>196</v>
      </c>
      <c r="E31" s="15" t="s">
        <v>833</v>
      </c>
      <c r="F31" s="15"/>
      <c r="G31" s="11"/>
      <c r="H31" t="s">
        <v>812</v>
      </c>
    </row>
    <row r="32" spans="1:10" x14ac:dyDescent="0.3">
      <c r="A32" t="s">
        <v>84</v>
      </c>
      <c r="B32" t="s">
        <v>610</v>
      </c>
      <c r="C32" s="292">
        <f>-17.7+6.3*Karja!D34+0.108*(Karja!D36*Karja!D34)</f>
        <v>65.986011128884513</v>
      </c>
      <c r="D32" s="291" t="s">
        <v>846</v>
      </c>
      <c r="E32" t="s">
        <v>612</v>
      </c>
      <c r="J32" s="3"/>
    </row>
    <row r="33" spans="1:7" x14ac:dyDescent="0.3">
      <c r="A33" t="s">
        <v>84</v>
      </c>
      <c r="B33" t="s">
        <v>210</v>
      </c>
      <c r="C33" s="47">
        <f>5.94 + 0.091 *Karja!D38</f>
        <v>7.8476511999999996</v>
      </c>
      <c r="D33" s="25" t="s">
        <v>209</v>
      </c>
    </row>
    <row r="34" spans="1:7" x14ac:dyDescent="0.3">
      <c r="A34" t="s">
        <v>84</v>
      </c>
      <c r="B34" t="s">
        <v>215</v>
      </c>
      <c r="C34" s="47">
        <f>C33/1000*Karja!H26</f>
        <v>17.935916831401872</v>
      </c>
      <c r="D34" s="25"/>
    </row>
    <row r="35" spans="1:7" x14ac:dyDescent="0.3">
      <c r="A35" t="s">
        <v>84</v>
      </c>
      <c r="B35" t="s">
        <v>216</v>
      </c>
      <c r="C35" s="47">
        <f>RavinnetaseN!Q11-Funktiot!C34</f>
        <v>20.328149184797507</v>
      </c>
      <c r="D35" s="25"/>
    </row>
    <row r="36" spans="1:7" x14ac:dyDescent="0.3">
      <c r="A36" t="s">
        <v>84</v>
      </c>
      <c r="B36" t="s">
        <v>217</v>
      </c>
      <c r="C36" s="47"/>
      <c r="D36" s="25"/>
      <c r="E36" t="s">
        <v>258</v>
      </c>
    </row>
    <row r="37" spans="1:7" x14ac:dyDescent="0.3">
      <c r="A37" t="s">
        <v>84</v>
      </c>
      <c r="B37" t="s">
        <v>218</v>
      </c>
      <c r="C37" s="47"/>
      <c r="D37" s="25"/>
    </row>
    <row r="38" spans="1:7" x14ac:dyDescent="0.3">
      <c r="A38" t="s">
        <v>84</v>
      </c>
      <c r="B38" t="s">
        <v>221</v>
      </c>
      <c r="C38">
        <f>Lähtötiedot!D19*N_ruho/100</f>
        <v>0</v>
      </c>
      <c r="E38" s="25" t="s">
        <v>207</v>
      </c>
    </row>
    <row r="39" spans="1:7" x14ac:dyDescent="0.3">
      <c r="E39" s="25"/>
    </row>
    <row r="40" spans="1:7" x14ac:dyDescent="0.3">
      <c r="E40" s="25"/>
    </row>
    <row r="41" spans="1:7" x14ac:dyDescent="0.3">
      <c r="E41" s="25"/>
    </row>
    <row r="42" spans="1:7" x14ac:dyDescent="0.3">
      <c r="E42" s="25"/>
    </row>
    <row r="43" spans="1:7" ht="16.2" customHeight="1" x14ac:dyDescent="0.3">
      <c r="A43" t="s">
        <v>447</v>
      </c>
      <c r="B43" t="s">
        <v>364</v>
      </c>
      <c r="C43">
        <v>0.9</v>
      </c>
      <c r="D43" t="s">
        <v>365</v>
      </c>
      <c r="E43" s="111" t="s">
        <v>366</v>
      </c>
    </row>
    <row r="44" spans="1:7" ht="16.2" x14ac:dyDescent="0.35">
      <c r="A44" t="s">
        <v>51</v>
      </c>
      <c r="D44" s="145" t="s">
        <v>429</v>
      </c>
      <c r="E44" t="s">
        <v>430</v>
      </c>
    </row>
    <row r="46" spans="1:7" x14ac:dyDescent="0.3">
      <c r="D46">
        <v>6600</v>
      </c>
      <c r="E46">
        <v>0.15</v>
      </c>
      <c r="F46">
        <f>E46*D46</f>
        <v>990</v>
      </c>
      <c r="G46">
        <f>F46*0.16</f>
        <v>158.4</v>
      </c>
    </row>
    <row r="47" spans="1:7" x14ac:dyDescent="0.3">
      <c r="D47">
        <f>D46*0.026+4</f>
        <v>175.6</v>
      </c>
    </row>
    <row r="48" spans="1:7" x14ac:dyDescent="0.3">
      <c r="F48" s="3"/>
    </row>
    <row r="51" spans="6:6" x14ac:dyDescent="0.3">
      <c r="F51" s="3"/>
    </row>
  </sheetData>
  <autoFilter ref="A1:E44"/>
  <pageMargins left="0.7" right="0.7" top="0.75" bottom="0.75" header="0.3" footer="0.3"/>
  <pageSetup paperSize="9" orientation="portrait" horizontalDpi="300" verticalDpi="300"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ul9"/>
  <dimension ref="B3:N20"/>
  <sheetViews>
    <sheetView workbookViewId="0">
      <selection activeCell="J14" sqref="J14"/>
    </sheetView>
  </sheetViews>
  <sheetFormatPr defaultRowHeight="14.4" x14ac:dyDescent="0.3"/>
  <sheetData>
    <row r="3" spans="2:14" x14ac:dyDescent="0.3">
      <c r="B3" t="s">
        <v>1052</v>
      </c>
    </row>
    <row r="4" spans="2:14" x14ac:dyDescent="0.3">
      <c r="B4" t="s">
        <v>1053</v>
      </c>
      <c r="G4">
        <v>37</v>
      </c>
      <c r="H4" t="s">
        <v>1047</v>
      </c>
      <c r="I4">
        <f>G4*1000</f>
        <v>37000</v>
      </c>
      <c r="J4" t="s">
        <v>1050</v>
      </c>
      <c r="K4">
        <f>I4*1000</f>
        <v>37000000</v>
      </c>
      <c r="L4" t="s">
        <v>0</v>
      </c>
      <c r="N4" t="s">
        <v>728</v>
      </c>
    </row>
    <row r="5" spans="2:14" x14ac:dyDescent="0.3">
      <c r="B5" t="s">
        <v>1051</v>
      </c>
      <c r="G5">
        <f>G4*0.9</f>
        <v>33.300000000000004</v>
      </c>
      <c r="H5" t="s">
        <v>1047</v>
      </c>
    </row>
    <row r="6" spans="2:14" x14ac:dyDescent="0.3">
      <c r="B6" t="s">
        <v>1054</v>
      </c>
      <c r="G6">
        <f>0.3*G5</f>
        <v>9.99</v>
      </c>
      <c r="H6" t="s">
        <v>1047</v>
      </c>
      <c r="I6">
        <f>G6*1000</f>
        <v>9990</v>
      </c>
      <c r="J6" t="s">
        <v>1050</v>
      </c>
      <c r="K6">
        <f>I6*1000</f>
        <v>9990000</v>
      </c>
      <c r="L6" t="s">
        <v>0</v>
      </c>
    </row>
    <row r="7" spans="2:14" x14ac:dyDescent="0.3">
      <c r="B7" t="s">
        <v>1057</v>
      </c>
      <c r="G7">
        <v>290000</v>
      </c>
      <c r="H7" t="s">
        <v>1055</v>
      </c>
    </row>
    <row r="8" spans="2:14" x14ac:dyDescent="0.3">
      <c r="G8" s="3">
        <f>K6/G7</f>
        <v>34.448275862068968</v>
      </c>
      <c r="H8" t="s">
        <v>1056</v>
      </c>
    </row>
    <row r="12" spans="2:14" x14ac:dyDescent="0.3">
      <c r="B12" t="s">
        <v>1041</v>
      </c>
      <c r="H12" t="s">
        <v>1047</v>
      </c>
    </row>
    <row r="14" spans="2:14" x14ac:dyDescent="0.3">
      <c r="B14" t="s">
        <v>1042</v>
      </c>
      <c r="G14">
        <v>0.45</v>
      </c>
      <c r="H14" t="s">
        <v>31</v>
      </c>
    </row>
    <row r="15" spans="2:14" x14ac:dyDescent="0.3">
      <c r="B15" t="s">
        <v>1043</v>
      </c>
      <c r="G15">
        <f>0.31*G14</f>
        <v>0.13950000000000001</v>
      </c>
      <c r="H15" t="s">
        <v>31</v>
      </c>
    </row>
    <row r="16" spans="2:14" x14ac:dyDescent="0.3">
      <c r="B16" t="s">
        <v>1044</v>
      </c>
      <c r="G16">
        <f>G14-G15</f>
        <v>0.3105</v>
      </c>
      <c r="H16" t="s">
        <v>31</v>
      </c>
    </row>
    <row r="17" spans="2:11" x14ac:dyDescent="0.3">
      <c r="B17" t="s">
        <v>1045</v>
      </c>
      <c r="G17">
        <v>0.15</v>
      </c>
      <c r="H17" t="s">
        <v>31</v>
      </c>
    </row>
    <row r="18" spans="2:11" x14ac:dyDescent="0.3">
      <c r="B18" t="s">
        <v>1046</v>
      </c>
      <c r="G18">
        <v>0.125</v>
      </c>
      <c r="H18" t="s">
        <v>31</v>
      </c>
    </row>
    <row r="20" spans="2:11" x14ac:dyDescent="0.3">
      <c r="B20" t="s">
        <v>1048</v>
      </c>
      <c r="G20">
        <v>0.17599999999999999</v>
      </c>
      <c r="H20" t="s">
        <v>31</v>
      </c>
      <c r="K20" t="s">
        <v>1049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ul10"/>
  <dimension ref="A1"/>
  <sheetViews>
    <sheetView workbookViewId="0">
      <selection activeCell="B1" sqref="B1:K18"/>
    </sheetView>
  </sheetViews>
  <sheetFormatPr defaultRowHeight="14.4" x14ac:dyDescent="0.3"/>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ul1"/>
  <dimension ref="B1"/>
  <sheetViews>
    <sheetView workbookViewId="0"/>
  </sheetViews>
  <sheetFormatPr defaultRowHeight="14.4" x14ac:dyDescent="0.3"/>
  <sheetData>
    <row r="1" spans="2:2" x14ac:dyDescent="0.3">
      <c r="B1" s="12" t="s">
        <v>267</v>
      </c>
    </row>
  </sheetData>
  <pageMargins left="0.7" right="0.7" top="0.75" bottom="0.75" header="0.3" footer="0.3"/>
  <pageSetup paperSize="9"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Z44"/>
  <sheetViews>
    <sheetView topLeftCell="A17" workbookViewId="0">
      <selection activeCell="Q46" sqref="Q46"/>
    </sheetView>
  </sheetViews>
  <sheetFormatPr defaultRowHeight="14.4" x14ac:dyDescent="0.3"/>
  <cols>
    <col min="2" max="2" width="17.109375" customWidth="1"/>
    <col min="4" max="4" width="3.44140625" customWidth="1"/>
    <col min="13" max="13" width="17.6640625" customWidth="1"/>
    <col min="16" max="16" width="10.77734375" customWidth="1"/>
    <col min="18" max="18" width="19.77734375" bestFit="1" customWidth="1"/>
  </cols>
  <sheetData>
    <row r="2" spans="2:17" x14ac:dyDescent="0.3">
      <c r="B2" s="12" t="s">
        <v>39</v>
      </c>
    </row>
    <row r="3" spans="2:17" x14ac:dyDescent="0.3">
      <c r="B3" s="16" t="str">
        <f>Karja!B4</f>
        <v>Normilehmä, Narutesti</v>
      </c>
      <c r="C3" s="15"/>
      <c r="D3" s="15"/>
      <c r="E3" s="15"/>
      <c r="F3" s="15"/>
      <c r="G3" s="15"/>
      <c r="M3" s="15"/>
      <c r="N3" s="16" t="str">
        <f>Pelto!I58</f>
        <v>ha</v>
      </c>
      <c r="O3" s="15" t="str">
        <f>Pelto!J58</f>
        <v>nuorkarja</v>
      </c>
      <c r="P3" s="15" t="str">
        <f>Pelto!K58</f>
        <v>umpparit</v>
      </c>
      <c r="Q3" s="15" t="str">
        <f>Pelto!L58</f>
        <v>lehmät</v>
      </c>
    </row>
    <row r="4" spans="2:17" x14ac:dyDescent="0.3">
      <c r="M4" t="str">
        <f>Pelto!H59</f>
        <v>Nurmea</v>
      </c>
      <c r="N4" s="193">
        <f>Pelto!I59</f>
        <v>0.82657498968730037</v>
      </c>
      <c r="O4" s="49">
        <f>Pelto!J59</f>
        <v>0.20821914686696244</v>
      </c>
      <c r="P4" s="49">
        <f>Pelto!K59</f>
        <v>5.9535305834271073E-2</v>
      </c>
      <c r="Q4" s="49">
        <f>Pelto!L59</f>
        <v>0.55882053698606693</v>
      </c>
    </row>
    <row r="5" spans="2:17" x14ac:dyDescent="0.3">
      <c r="M5" t="str">
        <f>Pelto!H60</f>
        <v>Oma vilja</v>
      </c>
      <c r="N5" s="193">
        <f>Pelto!I60</f>
        <v>0.66760022074005665</v>
      </c>
      <c r="O5" s="49">
        <f>Pelto!J60</f>
        <v>6.383161608889372E-2</v>
      </c>
      <c r="P5" s="49">
        <f>Pelto!K60</f>
        <v>6.3732558139534901E-3</v>
      </c>
      <c r="Q5" s="49">
        <f>Pelto!L60</f>
        <v>0.59739534883720935</v>
      </c>
    </row>
    <row r="6" spans="2:17" x14ac:dyDescent="0.3">
      <c r="B6" t="s">
        <v>40</v>
      </c>
      <c r="C6">
        <f>Tulokset!C2</f>
        <v>100</v>
      </c>
      <c r="M6" t="str">
        <f>Pelto!H61</f>
        <v>Ostovilja</v>
      </c>
      <c r="N6" s="193">
        <f>Pelto!I61</f>
        <v>0</v>
      </c>
      <c r="O6" s="49">
        <f>Pelto!J61</f>
        <v>0</v>
      </c>
      <c r="P6" s="49">
        <f>Pelto!K61</f>
        <v>0</v>
      </c>
      <c r="Q6" s="49">
        <f>Pelto!L61</f>
        <v>0</v>
      </c>
    </row>
    <row r="7" spans="2:17" ht="15" thickBot="1" x14ac:dyDescent="0.35">
      <c r="B7" t="s">
        <v>528</v>
      </c>
      <c r="C7">
        <f>Tulokset!C3</f>
        <v>77</v>
      </c>
      <c r="L7">
        <f>(N7/(N4+N7))</f>
        <v>3.512088516755766E-2</v>
      </c>
      <c r="M7" t="str">
        <f>Pelto!H62</f>
        <v>Kokovilja</v>
      </c>
      <c r="N7" s="194">
        <f>Pelto!I62</f>
        <v>3.0086717443587832E-2</v>
      </c>
      <c r="O7" s="49">
        <f>Pelto!J62</f>
        <v>2.3396924215192912E-2</v>
      </c>
      <c r="P7" s="49">
        <f>Pelto!K62</f>
        <v>6.6897932283949196E-3</v>
      </c>
      <c r="Q7" s="49">
        <f>Pelto!L62</f>
        <v>0</v>
      </c>
    </row>
    <row r="8" spans="2:17" ht="15" thickTop="1" x14ac:dyDescent="0.3">
      <c r="N8" s="193">
        <f>Pelto!I63</f>
        <v>1.5242619278709451</v>
      </c>
    </row>
    <row r="9" spans="2:17" x14ac:dyDescent="0.3">
      <c r="B9" t="s">
        <v>529</v>
      </c>
      <c r="C9" s="1">
        <f>Tulokset!C6</f>
        <v>0.82657498968730037</v>
      </c>
      <c r="D9" s="3"/>
      <c r="E9" t="s">
        <v>5</v>
      </c>
    </row>
    <row r="10" spans="2:17" x14ac:dyDescent="0.3">
      <c r="B10" t="s">
        <v>530</v>
      </c>
      <c r="C10" s="1">
        <f>Tulokset!C7</f>
        <v>3.0086717443587832E-2</v>
      </c>
      <c r="D10" s="3"/>
      <c r="E10" t="s">
        <v>5</v>
      </c>
    </row>
    <row r="11" spans="2:17" x14ac:dyDescent="0.3">
      <c r="B11" s="3" t="str">
        <f>Tulokset!B9</f>
        <v>Omavilja</v>
      </c>
      <c r="C11" s="1">
        <f>Tulokset!C9</f>
        <v>0.66760022074005665</v>
      </c>
      <c r="D11" s="3"/>
      <c r="E11" t="s">
        <v>5</v>
      </c>
      <c r="M11" s="15" t="str">
        <f>Pelto!H66</f>
        <v>Nurmitarve</v>
      </c>
      <c r="N11" s="15" t="str">
        <f>Pelto!I66</f>
        <v>nuorkarja</v>
      </c>
      <c r="O11" s="15" t="str">
        <f>Pelto!J66</f>
        <v>umpparit</v>
      </c>
      <c r="P11" s="15" t="str">
        <f>Pelto!K66</f>
        <v>lehmät</v>
      </c>
      <c r="Q11" s="15" t="str">
        <f>Pelto!L66</f>
        <v>yht tn</v>
      </c>
    </row>
    <row r="12" spans="2:17" x14ac:dyDescent="0.3">
      <c r="B12" t="str">
        <f>Tulokset!B8</f>
        <v>Ostovilja</v>
      </c>
      <c r="C12" s="1">
        <f>Tulokset!C8</f>
        <v>0</v>
      </c>
      <c r="E12" t="s">
        <v>5</v>
      </c>
      <c r="M12" t="str">
        <f>Pelto!H67</f>
        <v>kuiva tn</v>
      </c>
      <c r="N12">
        <f>Pelto!I67</f>
        <v>136.87200665887852</v>
      </c>
      <c r="O12">
        <f>Pelto!J67</f>
        <v>39.13529038611027</v>
      </c>
      <c r="P12">
        <f>Pelto!K67</f>
        <v>367.33840000000009</v>
      </c>
      <c r="Q12">
        <f>Pelto!L67</f>
        <v>543.34569704498881</v>
      </c>
    </row>
    <row r="13" spans="2:17" x14ac:dyDescent="0.3">
      <c r="B13" t="s">
        <v>112</v>
      </c>
      <c r="C13" s="1">
        <f>Tulokset!C10</f>
        <v>1.5242619278709448</v>
      </c>
      <c r="D13" s="1"/>
      <c r="E13" t="str">
        <f>Tulokset!D10</f>
        <v>ha/lehmä, sisältäen uudistuksen</v>
      </c>
      <c r="M13" t="str">
        <f>Pelto!H68</f>
        <v>osuus</v>
      </c>
      <c r="N13">
        <f>Pelto!I68</f>
        <v>0.25190593650278886</v>
      </c>
      <c r="O13">
        <f>Pelto!J68</f>
        <v>7.2026502830425262E-2</v>
      </c>
      <c r="P13">
        <f>Pelto!K68</f>
        <v>0.67606756066678597</v>
      </c>
      <c r="Q13">
        <f>Pelto!L68</f>
        <v>0</v>
      </c>
    </row>
    <row r="14" spans="2:17" x14ac:dyDescent="0.3">
      <c r="I14" s="2" t="str">
        <f>Lähtötiedot!O26</f>
        <v/>
      </c>
    </row>
    <row r="15" spans="2:17" x14ac:dyDescent="0.3">
      <c r="B15" t="s">
        <v>531</v>
      </c>
      <c r="C15" s="3">
        <f>Tulokset!C29</f>
        <v>108.80189962482181</v>
      </c>
      <c r="D15" s="3"/>
      <c r="I15" t="s">
        <v>538</v>
      </c>
      <c r="M15" s="15" t="str">
        <f>Pelto!H70</f>
        <v>Omaviljan tarve</v>
      </c>
      <c r="N15" s="15" t="str">
        <f>Pelto!I70</f>
        <v>nuorkarja</v>
      </c>
      <c r="O15" s="15" t="str">
        <f>Pelto!J70</f>
        <v>umpparit</v>
      </c>
      <c r="P15" s="15" t="str">
        <f>Pelto!K70</f>
        <v>lehmät</v>
      </c>
      <c r="Q15" s="15" t="str">
        <f>Pelto!L70</f>
        <v>yht tn</v>
      </c>
    </row>
    <row r="16" spans="2:17" x14ac:dyDescent="0.3">
      <c r="B16" t="s">
        <v>536</v>
      </c>
      <c r="C16" s="3">
        <f>Tulokset!C40/Tulokset!C2</f>
        <v>25.497468712504578</v>
      </c>
      <c r="D16" s="3"/>
      <c r="E16" t="s">
        <v>1033</v>
      </c>
      <c r="M16" t="str">
        <f>Pelto!H71</f>
        <v>kuiva tn</v>
      </c>
      <c r="N16">
        <f>Pelto!I71</f>
        <v>21.958075934579441</v>
      </c>
      <c r="O16">
        <f>Pelto!J71</f>
        <v>2.1924000000000001</v>
      </c>
      <c r="P16">
        <f>Pelto!K71</f>
        <v>205.50400000000002</v>
      </c>
      <c r="Q16">
        <f>Pelto!L71</f>
        <v>229.65447593457947</v>
      </c>
    </row>
    <row r="17" spans="2:26" x14ac:dyDescent="0.3">
      <c r="B17" t="s">
        <v>536</v>
      </c>
      <c r="C17" s="3">
        <f>Ammoniakki!O34</f>
        <v>32.921122505186993</v>
      </c>
      <c r="E17" t="s">
        <v>1034</v>
      </c>
      <c r="M17" t="str">
        <f>Pelto!H72</f>
        <v>osuus</v>
      </c>
      <c r="N17">
        <f>Pelto!I72</f>
        <v>9.561353352779646E-2</v>
      </c>
      <c r="O17">
        <f>Pelto!J72</f>
        <v>9.5465154383689802E-3</v>
      </c>
      <c r="P17">
        <f>Pelto!K72</f>
        <v>0.89483995103383451</v>
      </c>
      <c r="Q17">
        <f>Pelto!L72</f>
        <v>0</v>
      </c>
    </row>
    <row r="18" spans="2:26" x14ac:dyDescent="0.3">
      <c r="B18" t="s">
        <v>536</v>
      </c>
      <c r="C18" s="3">
        <f>Ammoniakki!O35</f>
        <v>59.522548595632315</v>
      </c>
      <c r="E18" t="s">
        <v>1035</v>
      </c>
    </row>
    <row r="19" spans="2:26" x14ac:dyDescent="0.3">
      <c r="B19" t="s">
        <v>536</v>
      </c>
      <c r="C19" s="1">
        <f>C17*262000/1000/1000</f>
        <v>8.6253340963589924</v>
      </c>
      <c r="E19" t="s">
        <v>1037</v>
      </c>
      <c r="M19" s="15" t="str">
        <f>Pelto!H74</f>
        <v>ostoviljatarve</v>
      </c>
      <c r="N19" s="15" t="str">
        <f>Pelto!I74</f>
        <v>nuorkarja</v>
      </c>
      <c r="O19" s="15" t="str">
        <f>Pelto!J74</f>
        <v>umpparit</v>
      </c>
      <c r="P19" s="15" t="str">
        <f>Pelto!K74</f>
        <v>lehmät</v>
      </c>
      <c r="Q19" s="15" t="str">
        <f>Pelto!L74</f>
        <v>yht tn</v>
      </c>
    </row>
    <row r="20" spans="2:26" x14ac:dyDescent="0.3">
      <c r="B20" t="s">
        <v>536</v>
      </c>
      <c r="C20" s="1">
        <f>C18*262000/1000/1000</f>
        <v>15.594907732055667</v>
      </c>
      <c r="E20" t="s">
        <v>1038</v>
      </c>
      <c r="M20" t="str">
        <f>Pelto!H75</f>
        <v>kuiva tn</v>
      </c>
      <c r="N20">
        <f>Pelto!I75</f>
        <v>0</v>
      </c>
      <c r="O20">
        <f>Pelto!J75</f>
        <v>0</v>
      </c>
      <c r="P20">
        <f>Pelto!K75</f>
        <v>0</v>
      </c>
      <c r="Q20">
        <f>Pelto!L75</f>
        <v>0</v>
      </c>
    </row>
    <row r="21" spans="2:26" x14ac:dyDescent="0.3">
      <c r="M21" t="str">
        <f>Pelto!H76</f>
        <v>osuus</v>
      </c>
      <c r="N21">
        <f>Pelto!I76</f>
        <v>9.561353352779646E-2</v>
      </c>
      <c r="O21">
        <f>Pelto!J76</f>
        <v>9.5465154383689802E-3</v>
      </c>
      <c r="P21">
        <f>Pelto!K76</f>
        <v>0.89483995103383451</v>
      </c>
      <c r="Q21">
        <f>Pelto!L76</f>
        <v>0</v>
      </c>
    </row>
    <row r="22" spans="2:26" x14ac:dyDescent="0.3">
      <c r="B22" t="s">
        <v>378</v>
      </c>
      <c r="C22" s="1">
        <f>Tulokset!C41</f>
        <v>7.881779227203733</v>
      </c>
      <c r="D22" s="1"/>
      <c r="E22" t="str">
        <f>Tulokset!F41</f>
        <v>P lannoituksella</v>
      </c>
    </row>
    <row r="23" spans="2:26" x14ac:dyDescent="0.3">
      <c r="B23" t="s">
        <v>535</v>
      </c>
      <c r="C23" s="1">
        <f>Tulokset!C42</f>
        <v>2.7458054421294404</v>
      </c>
      <c r="D23" s="1"/>
      <c r="E23" t="str">
        <f>Tulokset!F42</f>
        <v>ilman P lannoitusta</v>
      </c>
      <c r="M23" s="15" t="str">
        <f>Pelto!H78</f>
        <v>Kokoviljatarve</v>
      </c>
      <c r="N23" s="15" t="str">
        <f>Pelto!I78</f>
        <v>nuorkarja</v>
      </c>
      <c r="O23" s="15" t="str">
        <f>Pelto!J78</f>
        <v>umpparit</v>
      </c>
      <c r="P23" s="15" t="str">
        <f>Pelto!K78</f>
        <v>lehmät</v>
      </c>
      <c r="Q23" s="15" t="str">
        <f>Pelto!L78</f>
        <v>yht tn</v>
      </c>
    </row>
    <row r="24" spans="2:26" x14ac:dyDescent="0.3">
      <c r="B24" t="s">
        <v>532</v>
      </c>
      <c r="C24" s="49">
        <f>Tulokset!C45</f>
        <v>0.24388670154533926</v>
      </c>
      <c r="D24" s="49"/>
      <c r="E24" s="49" t="str">
        <f>Tulokset!D45</f>
        <v>€ / kg ekm</v>
      </c>
      <c r="M24" t="str">
        <f>Pelto!H79</f>
        <v>kuiva tn</v>
      </c>
      <c r="N24">
        <f>Pelto!I79</f>
        <v>13.825455218068537</v>
      </c>
      <c r="O24">
        <f>Pelto!J79</f>
        <v>3.953059634960634</v>
      </c>
      <c r="P24">
        <f>Pelto!K79</f>
        <v>0</v>
      </c>
      <c r="Q24">
        <f>Pelto!L79</f>
        <v>17.778514853029172</v>
      </c>
    </row>
    <row r="25" spans="2:26" x14ac:dyDescent="0.3">
      <c r="M25" t="str">
        <f>Pelto!H80</f>
        <v>osuus</v>
      </c>
      <c r="N25">
        <f>Pelto!I80</f>
        <v>0.77764961428782686</v>
      </c>
      <c r="O25">
        <f>Pelto!J80</f>
        <v>0.22235038571217305</v>
      </c>
      <c r="P25">
        <f>Pelto!K80</f>
        <v>0</v>
      </c>
      <c r="Q25">
        <f>Pelto!L80</f>
        <v>0</v>
      </c>
    </row>
    <row r="28" spans="2:26" x14ac:dyDescent="0.3">
      <c r="E28" s="200" t="s">
        <v>957</v>
      </c>
      <c r="F28" s="200"/>
      <c r="G28" s="200"/>
      <c r="H28" s="200"/>
      <c r="I28" s="200"/>
      <c r="J28" s="200"/>
      <c r="K28" s="200"/>
      <c r="L28" s="200"/>
      <c r="M28" s="200"/>
      <c r="N28" s="200"/>
      <c r="O28" s="200"/>
      <c r="P28" s="200"/>
      <c r="Q28" s="200"/>
      <c r="R28" s="200"/>
      <c r="S28" s="200"/>
      <c r="T28" s="200"/>
      <c r="U28" s="200"/>
      <c r="V28" s="200"/>
      <c r="W28" s="200"/>
      <c r="X28" s="200"/>
      <c r="Y28" s="200"/>
      <c r="Z28" s="200"/>
    </row>
    <row r="29" spans="2:26" x14ac:dyDescent="0.3">
      <c r="E29" s="200"/>
      <c r="F29" s="200"/>
      <c r="G29" s="200"/>
      <c r="H29" s="200"/>
      <c r="I29" s="200"/>
      <c r="J29" s="200"/>
      <c r="K29" s="200"/>
      <c r="L29" s="200"/>
      <c r="M29" s="200"/>
      <c r="N29" s="200"/>
      <c r="O29" s="200"/>
      <c r="P29" s="200"/>
      <c r="Q29" s="200"/>
      <c r="R29" s="200"/>
      <c r="S29" s="200"/>
      <c r="T29" s="200"/>
      <c r="U29" s="200"/>
      <c r="V29" s="200"/>
      <c r="W29" s="200"/>
      <c r="X29" s="200"/>
      <c r="Y29" s="200"/>
      <c r="Z29" s="200"/>
    </row>
    <row r="30" spans="2:26" x14ac:dyDescent="0.3">
      <c r="E30" s="200"/>
      <c r="F30" s="200"/>
      <c r="G30" s="200"/>
      <c r="H30" s="200"/>
      <c r="I30" s="200"/>
      <c r="J30" s="200"/>
      <c r="K30" s="200"/>
      <c r="L30" s="200"/>
      <c r="M30" s="257" t="s">
        <v>941</v>
      </c>
      <c r="N30" s="307" t="s">
        <v>901</v>
      </c>
      <c r="O30" s="308" t="s">
        <v>906</v>
      </c>
      <c r="P30" s="259" t="s">
        <v>889</v>
      </c>
      <c r="Q30" s="259" t="s">
        <v>888</v>
      </c>
      <c r="R30" s="259" t="s">
        <v>894</v>
      </c>
      <c r="S30" s="254"/>
      <c r="T30" s="200"/>
      <c r="U30" s="200"/>
      <c r="V30" s="200"/>
      <c r="W30" s="200"/>
      <c r="X30" s="200"/>
      <c r="Y30" s="200"/>
      <c r="Z30" s="200"/>
    </row>
    <row r="31" spans="2:26" x14ac:dyDescent="0.3">
      <c r="E31" s="200"/>
      <c r="F31" s="200" t="s">
        <v>880</v>
      </c>
      <c r="G31" s="200" t="s">
        <v>897</v>
      </c>
      <c r="H31" s="309" t="s">
        <v>879</v>
      </c>
      <c r="I31" s="310"/>
      <c r="J31" s="149" t="s">
        <v>940</v>
      </c>
      <c r="K31" s="200"/>
      <c r="L31" s="200"/>
      <c r="M31" s="311" t="s">
        <v>892</v>
      </c>
      <c r="N31" s="266"/>
      <c r="O31" s="266"/>
      <c r="P31" s="266"/>
      <c r="Q31" s="266"/>
      <c r="R31" s="266"/>
      <c r="S31" s="228"/>
      <c r="T31" s="200"/>
      <c r="U31" s="200"/>
      <c r="V31" s="200"/>
      <c r="W31" s="200"/>
      <c r="X31" s="200"/>
      <c r="Y31" s="200"/>
      <c r="Z31" s="200"/>
    </row>
    <row r="32" spans="2:26" x14ac:dyDescent="0.3">
      <c r="E32" s="149" t="s">
        <v>898</v>
      </c>
      <c r="F32" s="149" t="s">
        <v>904</v>
      </c>
      <c r="G32" s="149" t="s">
        <v>904</v>
      </c>
      <c r="H32" s="312" t="s">
        <v>907</v>
      </c>
      <c r="I32" s="149" t="s">
        <v>905</v>
      </c>
      <c r="J32" s="149" t="s">
        <v>880</v>
      </c>
      <c r="K32" s="200"/>
      <c r="L32" s="200"/>
      <c r="M32" s="311" t="s">
        <v>893</v>
      </c>
      <c r="N32" s="266"/>
      <c r="O32" s="266"/>
      <c r="P32" s="266"/>
      <c r="Q32" s="266"/>
      <c r="R32" s="266"/>
      <c r="S32" s="228"/>
      <c r="T32" s="200"/>
      <c r="U32" s="200"/>
      <c r="V32" s="200"/>
      <c r="W32" s="200"/>
      <c r="X32" s="200"/>
      <c r="Y32" s="200"/>
      <c r="Z32" s="200"/>
    </row>
    <row r="33" spans="5:26" x14ac:dyDescent="0.3">
      <c r="E33" s="200" t="s">
        <v>875</v>
      </c>
      <c r="F33" s="200">
        <f>Lähtötiedot!D5</f>
        <v>100</v>
      </c>
      <c r="G33" s="200">
        <v>105</v>
      </c>
      <c r="H33" s="313">
        <v>25.5</v>
      </c>
      <c r="I33" s="200">
        <f>G33*H33</f>
        <v>2677.5</v>
      </c>
      <c r="J33" s="200">
        <f>F33*H33</f>
        <v>2550</v>
      </c>
      <c r="K33" s="200"/>
      <c r="L33" s="200"/>
      <c r="M33" s="311" t="s">
        <v>937</v>
      </c>
      <c r="N33" s="314">
        <f>RavinnetaseN!I119</f>
        <v>14.691249999999998</v>
      </c>
      <c r="O33" s="314">
        <f>RavinnetaseN!I118</f>
        <v>593.66115096284034</v>
      </c>
      <c r="P33" s="314">
        <f>RavinnetaseN!I117</f>
        <v>158.18696140576782</v>
      </c>
      <c r="Q33" s="314">
        <f>RavinnetaseN!I116</f>
        <v>1973.9140207799996</v>
      </c>
      <c r="R33" s="315">
        <f>SUM(N33:Q33)</f>
        <v>2740.4533831486078</v>
      </c>
      <c r="S33" s="316" t="s">
        <v>89</v>
      </c>
      <c r="T33" s="200"/>
      <c r="U33" s="200"/>
      <c r="V33" s="200"/>
      <c r="W33" s="200"/>
      <c r="X33" s="200"/>
      <c r="Y33" s="200"/>
      <c r="Z33" s="200"/>
    </row>
    <row r="34" spans="5:26" x14ac:dyDescent="0.3">
      <c r="E34" s="200" t="s">
        <v>876</v>
      </c>
      <c r="F34" s="200">
        <f>F33*I41</f>
        <v>8.75</v>
      </c>
      <c r="G34" s="200">
        <v>13</v>
      </c>
      <c r="H34" s="313">
        <v>3.6</v>
      </c>
      <c r="I34" s="200">
        <f>G34*H34</f>
        <v>46.800000000000004</v>
      </c>
      <c r="J34" s="200">
        <f t="shared" ref="J34:J36" si="0">F34*H34</f>
        <v>31.5</v>
      </c>
      <c r="K34" s="200"/>
      <c r="L34" s="200"/>
      <c r="M34" s="311"/>
      <c r="N34" s="266"/>
      <c r="O34" s="266"/>
      <c r="P34" s="266"/>
      <c r="Q34" s="266"/>
      <c r="R34" s="266"/>
      <c r="S34" s="316"/>
      <c r="T34" s="200"/>
      <c r="U34" s="200"/>
      <c r="V34" s="200"/>
      <c r="W34" s="200"/>
      <c r="X34" s="200"/>
      <c r="Y34" s="200"/>
      <c r="Z34" s="200"/>
    </row>
    <row r="35" spans="5:26" x14ac:dyDescent="0.3">
      <c r="E35" s="200" t="s">
        <v>877</v>
      </c>
      <c r="F35" s="200">
        <f>F33*I42</f>
        <v>8.75</v>
      </c>
      <c r="G35" s="200">
        <v>7</v>
      </c>
      <c r="H35" s="313">
        <v>7.2</v>
      </c>
      <c r="I35" s="200">
        <f>G35*H35</f>
        <v>50.4</v>
      </c>
      <c r="J35" s="200">
        <f t="shared" si="0"/>
        <v>63</v>
      </c>
      <c r="K35" s="200"/>
      <c r="L35" s="200"/>
      <c r="M35" s="311" t="s">
        <v>930</v>
      </c>
      <c r="N35" s="266"/>
      <c r="O35" s="266"/>
      <c r="P35" s="266"/>
      <c r="Q35" s="266"/>
      <c r="R35" s="314">
        <f>RavinnetaseN!I35</f>
        <v>13179.01232501236</v>
      </c>
      <c r="S35" s="228" t="s">
        <v>701</v>
      </c>
      <c r="T35" s="200"/>
      <c r="U35" s="200"/>
      <c r="V35" s="200"/>
      <c r="W35" s="200"/>
      <c r="X35" s="200"/>
      <c r="Y35" s="200"/>
      <c r="Z35" s="200"/>
    </row>
    <row r="36" spans="5:26" x14ac:dyDescent="0.3">
      <c r="E36" s="149" t="s">
        <v>878</v>
      </c>
      <c r="F36" s="149">
        <f>F33*I43</f>
        <v>59.5</v>
      </c>
      <c r="G36" s="149">
        <v>14</v>
      </c>
      <c r="H36" s="317">
        <v>8.5</v>
      </c>
      <c r="I36" s="149">
        <f>G36*H36</f>
        <v>119</v>
      </c>
      <c r="J36" s="149">
        <f t="shared" si="0"/>
        <v>505.75</v>
      </c>
      <c r="K36" s="200"/>
      <c r="L36" s="200"/>
      <c r="M36" s="311"/>
      <c r="N36" s="266"/>
      <c r="O36" s="266"/>
      <c r="P36" s="266"/>
      <c r="Q36" s="266"/>
      <c r="R36" s="318">
        <f>R35/R33</f>
        <v>4.8090627653262636</v>
      </c>
      <c r="S36" s="228" t="s">
        <v>934</v>
      </c>
      <c r="T36" s="200"/>
      <c r="U36" s="200"/>
      <c r="V36" s="200"/>
      <c r="W36" s="200"/>
      <c r="X36" s="200"/>
      <c r="Y36" s="200"/>
      <c r="Z36" s="200"/>
    </row>
    <row r="37" spans="5:26" x14ac:dyDescent="0.3">
      <c r="E37" s="200" t="s">
        <v>908</v>
      </c>
      <c r="F37" s="200">
        <f>SUM(F34:F36)</f>
        <v>77</v>
      </c>
      <c r="G37" s="200"/>
      <c r="H37" s="200"/>
      <c r="I37" s="319">
        <f>SUM(I33:I36)</f>
        <v>2893.7000000000003</v>
      </c>
      <c r="J37" s="319">
        <f>SUM(J33:J36)</f>
        <v>3150.25</v>
      </c>
      <c r="K37" s="200"/>
      <c r="L37" s="200"/>
      <c r="M37" s="311" t="s">
        <v>977</v>
      </c>
      <c r="N37" s="266"/>
      <c r="O37" s="266"/>
      <c r="P37" s="266"/>
      <c r="Q37" s="266"/>
      <c r="R37" s="314">
        <f>RavinnetaseN!J114</f>
        <v>283.84666580693175</v>
      </c>
      <c r="S37" s="228" t="s">
        <v>89</v>
      </c>
      <c r="T37" s="200"/>
      <c r="U37" s="200"/>
      <c r="V37" s="200"/>
      <c r="W37" s="200"/>
      <c r="X37" s="200"/>
      <c r="Y37" s="200"/>
      <c r="Z37" s="200"/>
    </row>
    <row r="38" spans="5:26" x14ac:dyDescent="0.3">
      <c r="E38" s="200"/>
      <c r="F38" s="200"/>
      <c r="G38" s="200"/>
      <c r="H38" s="200"/>
      <c r="I38" s="200"/>
      <c r="J38" s="200"/>
      <c r="K38" s="200"/>
      <c r="L38" s="200"/>
      <c r="M38" s="311" t="s">
        <v>931</v>
      </c>
      <c r="N38" s="266"/>
      <c r="O38" s="266"/>
      <c r="P38" s="266"/>
      <c r="Q38" s="266"/>
      <c r="R38" s="266">
        <f>F33*5.7</f>
        <v>570</v>
      </c>
      <c r="S38" s="228" t="s">
        <v>932</v>
      </c>
      <c r="T38" s="200" t="s">
        <v>935</v>
      </c>
      <c r="U38" s="200"/>
      <c r="V38" s="200"/>
      <c r="W38" s="200"/>
      <c r="X38" s="200"/>
      <c r="Y38" s="200"/>
      <c r="Z38" s="200"/>
    </row>
    <row r="39" spans="5:26" x14ac:dyDescent="0.3">
      <c r="E39" s="200"/>
      <c r="F39" s="200" t="s">
        <v>903</v>
      </c>
      <c r="G39" s="200" t="s">
        <v>119</v>
      </c>
      <c r="H39" s="200"/>
      <c r="I39" s="200" t="s">
        <v>895</v>
      </c>
      <c r="J39" s="200"/>
      <c r="K39" s="200"/>
      <c r="L39" s="200"/>
      <c r="M39" s="311" t="s">
        <v>953</v>
      </c>
      <c r="N39" s="266"/>
      <c r="O39" s="266"/>
      <c r="P39" s="266"/>
      <c r="Q39" s="266"/>
      <c r="R39" s="266">
        <f>R38/1000*365</f>
        <v>208.04999999999998</v>
      </c>
      <c r="S39" s="228" t="s">
        <v>933</v>
      </c>
      <c r="T39" s="200"/>
      <c r="U39" s="200"/>
      <c r="V39" s="200"/>
      <c r="W39" s="200"/>
      <c r="X39" s="200"/>
      <c r="Y39" s="200"/>
      <c r="Z39" s="200"/>
    </row>
    <row r="40" spans="5:26" x14ac:dyDescent="0.3">
      <c r="E40" s="149"/>
      <c r="F40" s="149" t="s">
        <v>277</v>
      </c>
      <c r="G40" s="149" t="s">
        <v>896</v>
      </c>
      <c r="H40" s="149" t="s">
        <v>31</v>
      </c>
      <c r="I40" s="149" t="s">
        <v>900</v>
      </c>
      <c r="J40" s="200"/>
      <c r="K40" s="200"/>
      <c r="L40" s="200"/>
      <c r="M40" s="311" t="s">
        <v>936</v>
      </c>
      <c r="N40" s="266"/>
      <c r="O40" s="266"/>
      <c r="P40" s="266"/>
      <c r="Q40" s="266"/>
      <c r="R40" s="318">
        <f>R39</f>
        <v>208.04999999999998</v>
      </c>
      <c r="S40" s="228" t="s">
        <v>933</v>
      </c>
      <c r="T40" s="200" t="s">
        <v>939</v>
      </c>
      <c r="U40" s="200"/>
      <c r="V40" s="200"/>
      <c r="W40" s="200"/>
      <c r="X40" s="200"/>
      <c r="Y40" s="200"/>
      <c r="Z40" s="200"/>
    </row>
    <row r="41" spans="5:26" x14ac:dyDescent="0.3">
      <c r="E41" s="200"/>
      <c r="F41" s="200">
        <v>3</v>
      </c>
      <c r="G41" s="200" t="s">
        <v>890</v>
      </c>
      <c r="H41" s="229">
        <f>F41/$F$44</f>
        <v>0.11363636363636363</v>
      </c>
      <c r="I41" s="229">
        <f>H41*I44</f>
        <v>8.7499999999999994E-2</v>
      </c>
      <c r="J41" s="200"/>
      <c r="K41" s="200"/>
      <c r="L41" s="200"/>
      <c r="M41" s="311"/>
      <c r="N41" s="266"/>
      <c r="O41" s="266"/>
      <c r="P41" s="266"/>
      <c r="Q41" s="266"/>
      <c r="R41" s="265">
        <f>R35/(R33+R39+R40)</f>
        <v>4.1751273383713601</v>
      </c>
      <c r="S41" s="228" t="s">
        <v>177</v>
      </c>
      <c r="T41" s="200"/>
      <c r="U41" s="200"/>
      <c r="V41" s="200"/>
      <c r="W41" s="200"/>
      <c r="X41" s="200"/>
      <c r="Y41" s="200"/>
      <c r="Z41" s="200"/>
    </row>
    <row r="42" spans="5:26" x14ac:dyDescent="0.3">
      <c r="E42" s="200"/>
      <c r="F42" s="200">
        <v>3</v>
      </c>
      <c r="G42" s="320" t="s">
        <v>891</v>
      </c>
      <c r="H42" s="229">
        <f>F42/$F$44</f>
        <v>0.11363636363636363</v>
      </c>
      <c r="I42" s="229">
        <f>H42*I44</f>
        <v>8.7499999999999994E-2</v>
      </c>
      <c r="J42" s="200"/>
      <c r="K42" s="200"/>
      <c r="L42" s="200"/>
      <c r="M42" s="255"/>
      <c r="N42" s="149"/>
      <c r="O42" s="149"/>
      <c r="P42" s="149"/>
      <c r="Q42" s="149"/>
      <c r="R42" s="321">
        <f>R33+R39+R40</f>
        <v>3156.5533831486082</v>
      </c>
      <c r="S42" s="256" t="s">
        <v>938</v>
      </c>
      <c r="T42" s="200"/>
      <c r="U42" s="200"/>
      <c r="V42" s="200"/>
      <c r="W42" s="200"/>
      <c r="X42" s="200"/>
      <c r="Y42" s="200"/>
      <c r="Z42" s="200"/>
    </row>
    <row r="43" spans="5:26" x14ac:dyDescent="0.3">
      <c r="E43" s="200"/>
      <c r="F43" s="266">
        <f>F44-F41-F42</f>
        <v>20.400000000000002</v>
      </c>
      <c r="G43" s="322" t="s">
        <v>902</v>
      </c>
      <c r="H43" s="268">
        <f>F43/$F$44</f>
        <v>0.77272727272727271</v>
      </c>
      <c r="I43" s="268">
        <f>H43*I44</f>
        <v>0.59499999999999997</v>
      </c>
      <c r="J43" s="200"/>
      <c r="K43" s="200"/>
      <c r="L43" s="229"/>
      <c r="M43" s="200"/>
      <c r="N43" s="200"/>
      <c r="O43" s="200"/>
      <c r="P43" s="200"/>
      <c r="Q43" s="200"/>
      <c r="R43" s="200">
        <f>R37/(R33+R39+R40)</f>
        <v>8.9922973367806483E-2</v>
      </c>
      <c r="S43" s="200"/>
      <c r="T43" s="200" t="s">
        <v>993</v>
      </c>
      <c r="U43" s="200"/>
      <c r="V43" s="200"/>
      <c r="W43" s="200"/>
      <c r="X43" s="200"/>
      <c r="Y43" s="200"/>
      <c r="Z43" s="200"/>
    </row>
    <row r="44" spans="5:26" x14ac:dyDescent="0.3">
      <c r="E44" s="257" t="s">
        <v>899</v>
      </c>
      <c r="F44" s="258">
        <f>2.2*12</f>
        <v>26.400000000000002</v>
      </c>
      <c r="G44" s="200"/>
      <c r="H44" s="229">
        <f>SUM(H41:H43)</f>
        <v>1</v>
      </c>
      <c r="I44" s="229">
        <f>Lähtötiedot!D6*F44/12</f>
        <v>0.77</v>
      </c>
    </row>
  </sheetData>
  <pageMargins left="0.7" right="0.7" top="0.75" bottom="0.75" header="0.3" footer="0.3"/>
  <pageSetup paperSize="9" orientation="portrait" verticalDpi="0"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ul2"/>
  <dimension ref="B2:K45"/>
  <sheetViews>
    <sheetView workbookViewId="0">
      <selection activeCell="C40" sqref="C40"/>
    </sheetView>
  </sheetViews>
  <sheetFormatPr defaultRowHeight="14.4" x14ac:dyDescent="0.3"/>
  <cols>
    <col min="2" max="2" width="28.33203125" customWidth="1"/>
  </cols>
  <sheetData>
    <row r="2" spans="2:11" x14ac:dyDescent="0.3">
      <c r="B2" t="s">
        <v>40</v>
      </c>
      <c r="C2" s="49">
        <f>Karja!D22</f>
        <v>100</v>
      </c>
      <c r="D2" t="s">
        <v>30</v>
      </c>
      <c r="H2" s="14" t="s">
        <v>277</v>
      </c>
      <c r="I2" s="14" t="s">
        <v>278</v>
      </c>
    </row>
    <row r="3" spans="2:11" x14ac:dyDescent="0.3">
      <c r="B3" t="s">
        <v>154</v>
      </c>
      <c r="C3" s="49">
        <f>Karja!D26</f>
        <v>77</v>
      </c>
      <c r="D3" t="s">
        <v>30</v>
      </c>
      <c r="G3" t="s">
        <v>286</v>
      </c>
      <c r="H3" s="14">
        <v>11</v>
      </c>
      <c r="I3" s="14">
        <v>0.25</v>
      </c>
      <c r="J3" s="49">
        <f>H3/$H$6*I3</f>
        <v>0.10416666666666666</v>
      </c>
    </row>
    <row r="4" spans="2:11" x14ac:dyDescent="0.3">
      <c r="B4" t="s">
        <v>276</v>
      </c>
      <c r="C4" s="49">
        <f>C2+C3*J6</f>
        <v>139.8125</v>
      </c>
      <c r="D4" t="s">
        <v>278</v>
      </c>
      <c r="G4" t="s">
        <v>119</v>
      </c>
      <c r="H4" s="14">
        <v>9</v>
      </c>
      <c r="I4" s="14">
        <v>0.5</v>
      </c>
      <c r="J4" s="49">
        <f>H4/$H$6*I4</f>
        <v>0.17045454545454544</v>
      </c>
    </row>
    <row r="5" spans="2:11" x14ac:dyDescent="0.3">
      <c r="B5" t="s">
        <v>574</v>
      </c>
      <c r="C5" s="49">
        <f>Pelto!D31</f>
        <v>152.42619278709449</v>
      </c>
      <c r="D5" t="s">
        <v>5</v>
      </c>
      <c r="G5" t="s">
        <v>116</v>
      </c>
      <c r="H5" s="18">
        <f>H6-H3-H4</f>
        <v>6.4000000000000021</v>
      </c>
      <c r="I5" s="18">
        <v>1</v>
      </c>
      <c r="J5" s="83">
        <f>H5/$H$6*I5</f>
        <v>0.24242424242424249</v>
      </c>
    </row>
    <row r="6" spans="2:11" x14ac:dyDescent="0.3">
      <c r="B6" t="s">
        <v>155</v>
      </c>
      <c r="C6" s="49">
        <f>Pelto!D26</f>
        <v>0.82657498968730037</v>
      </c>
      <c r="D6" t="s">
        <v>5</v>
      </c>
      <c r="H6">
        <f>H7*12</f>
        <v>26.400000000000002</v>
      </c>
      <c r="J6" s="49">
        <f>SUM(J3:J5)</f>
        <v>0.51704545454545459</v>
      </c>
      <c r="K6" t="s">
        <v>280</v>
      </c>
    </row>
    <row r="7" spans="2:11" x14ac:dyDescent="0.3">
      <c r="B7" t="s">
        <v>156</v>
      </c>
      <c r="C7" s="49">
        <f>Pelto!D27</f>
        <v>3.0086717443587832E-2</v>
      </c>
      <c r="D7" t="s">
        <v>5</v>
      </c>
      <c r="H7">
        <f>Lähtötiedot!D7</f>
        <v>2.2000000000000002</v>
      </c>
      <c r="K7" t="s">
        <v>281</v>
      </c>
    </row>
    <row r="8" spans="2:11" x14ac:dyDescent="0.3">
      <c r="B8" t="str">
        <f>Pelto!C28</f>
        <v>Ostovilja</v>
      </c>
      <c r="C8" s="49">
        <f>Pelto!D28</f>
        <v>0</v>
      </c>
      <c r="D8" t="s">
        <v>5</v>
      </c>
    </row>
    <row r="9" spans="2:11" x14ac:dyDescent="0.3">
      <c r="B9" s="3" t="str">
        <f>Pelto!C29</f>
        <v>Omavilja</v>
      </c>
      <c r="C9" s="49">
        <f>Pelto!D29</f>
        <v>0.66760022074005665</v>
      </c>
      <c r="D9" t="s">
        <v>5</v>
      </c>
    </row>
    <row r="10" spans="2:11" x14ac:dyDescent="0.3">
      <c r="B10" t="s">
        <v>274</v>
      </c>
      <c r="C10" s="49">
        <f>C5/C2</f>
        <v>1.5242619278709448</v>
      </c>
      <c r="D10" t="s">
        <v>275</v>
      </c>
    </row>
    <row r="11" spans="2:11" x14ac:dyDescent="0.3">
      <c r="B11" t="s">
        <v>274</v>
      </c>
      <c r="C11" s="1"/>
      <c r="D11" t="s">
        <v>288</v>
      </c>
    </row>
    <row r="12" spans="2:11" x14ac:dyDescent="0.3">
      <c r="B12" t="s">
        <v>575</v>
      </c>
      <c r="C12" s="1">
        <f>C4/C5</f>
        <v>0.91724720957432149</v>
      </c>
      <c r="D12" t="s">
        <v>279</v>
      </c>
    </row>
    <row r="13" spans="2:11" x14ac:dyDescent="0.3">
      <c r="B13" t="s">
        <v>274</v>
      </c>
      <c r="C13" s="1"/>
      <c r="D13" t="s">
        <v>289</v>
      </c>
    </row>
    <row r="15" spans="2:11" x14ac:dyDescent="0.3">
      <c r="B15" t="s">
        <v>282</v>
      </c>
      <c r="C15" s="1">
        <f>silageyield</f>
        <v>6.5734591999999994</v>
      </c>
      <c r="D15" t="s">
        <v>284</v>
      </c>
    </row>
    <row r="16" spans="2:11" x14ac:dyDescent="0.3">
      <c r="B16" t="s">
        <v>283</v>
      </c>
      <c r="C16" s="1">
        <f>Pelto!D20/0.86</f>
        <v>4</v>
      </c>
      <c r="D16" t="s">
        <v>285</v>
      </c>
    </row>
    <row r="17" spans="2:6" x14ac:dyDescent="0.3">
      <c r="C17" s="1"/>
    </row>
    <row r="18" spans="2:6" x14ac:dyDescent="0.3">
      <c r="C18" s="1"/>
    </row>
    <row r="19" spans="2:6" x14ac:dyDescent="0.3">
      <c r="B19" t="s">
        <v>161</v>
      </c>
    </row>
    <row r="20" spans="2:6" x14ac:dyDescent="0.3">
      <c r="B20" t="s">
        <v>157</v>
      </c>
      <c r="C20" s="3">
        <f>Pelto!Q31</f>
        <v>108.39647800827682</v>
      </c>
      <c r="D20" t="s">
        <v>523</v>
      </c>
    </row>
    <row r="21" spans="2:6" x14ac:dyDescent="0.3">
      <c r="B21" t="s">
        <v>158</v>
      </c>
      <c r="C21" s="3">
        <f>RavinnetaseN!I45</f>
        <v>5243.7764600747678</v>
      </c>
      <c r="D21" t="s">
        <v>159</v>
      </c>
    </row>
    <row r="23" spans="2:6" x14ac:dyDescent="0.3">
      <c r="B23" t="s">
        <v>160</v>
      </c>
    </row>
    <row r="24" spans="2:6" x14ac:dyDescent="0.3">
      <c r="B24" t="s">
        <v>162</v>
      </c>
      <c r="C24" s="3">
        <f>RavinnetaseN!J47</f>
        <v>4755.7851465912254</v>
      </c>
    </row>
    <row r="25" spans="2:6" x14ac:dyDescent="0.3">
      <c r="B25" t="s">
        <v>163</v>
      </c>
      <c r="C25" s="3">
        <f>RavinnetaseN!J48+RavinnetaseN!J49</f>
        <v>671.12499999999989</v>
      </c>
    </row>
    <row r="27" spans="2:6" x14ac:dyDescent="0.3">
      <c r="B27" t="s">
        <v>164</v>
      </c>
    </row>
    <row r="28" spans="2:6" x14ac:dyDescent="0.3">
      <c r="B28" t="s">
        <v>524</v>
      </c>
      <c r="C28" s="3">
        <f>RavinnetaseN!J51</f>
        <v>16584.259327815194</v>
      </c>
      <c r="D28" t="s">
        <v>165</v>
      </c>
    </row>
    <row r="29" spans="2:6" x14ac:dyDescent="0.3">
      <c r="B29" t="s">
        <v>525</v>
      </c>
      <c r="C29" s="21">
        <f>RavinnetaseN!J52</f>
        <v>108.80189962482181</v>
      </c>
      <c r="D29" s="12" t="s">
        <v>8</v>
      </c>
      <c r="E29" s="12"/>
      <c r="F29" s="12" t="s">
        <v>226</v>
      </c>
    </row>
    <row r="31" spans="2:6" x14ac:dyDescent="0.3">
      <c r="B31" t="s">
        <v>173</v>
      </c>
      <c r="C31" s="3">
        <f>RavinnetaseN!J53</f>
        <v>4706.7901160758429</v>
      </c>
      <c r="D31" t="s">
        <v>174</v>
      </c>
    </row>
    <row r="32" spans="2:6" x14ac:dyDescent="0.3">
      <c r="B32" t="s">
        <v>172</v>
      </c>
      <c r="C32" s="23">
        <f>IF(RavinnetaseN!J54&lt;0,0,RavinnetaseN!J54)</f>
        <v>0</v>
      </c>
      <c r="D32" s="2" t="s">
        <v>174</v>
      </c>
      <c r="E32" s="2"/>
      <c r="F32" s="2"/>
    </row>
    <row r="33" spans="2:6" x14ac:dyDescent="0.3">
      <c r="B33" t="s">
        <v>273</v>
      </c>
      <c r="C33" s="49">
        <f>C32/(C31)</f>
        <v>0</v>
      </c>
    </row>
    <row r="34" spans="2:6" x14ac:dyDescent="0.3">
      <c r="B34" t="s">
        <v>148</v>
      </c>
      <c r="C34" s="3">
        <f>Pelto!P31</f>
        <v>16522.462454331649</v>
      </c>
      <c r="D34" t="s">
        <v>342</v>
      </c>
      <c r="F34" s="2"/>
    </row>
    <row r="35" spans="2:6" x14ac:dyDescent="0.3">
      <c r="B35" t="s">
        <v>148</v>
      </c>
      <c r="C35" s="3">
        <f>C34/Pelto!D31</f>
        <v>108.39647800827682</v>
      </c>
      <c r="D35" t="s">
        <v>8</v>
      </c>
    </row>
    <row r="36" spans="2:6" x14ac:dyDescent="0.3">
      <c r="B36" t="s">
        <v>397</v>
      </c>
      <c r="C36" s="3">
        <f>Pelto!P26/Pelto!D26</f>
        <v>17060.171909716038</v>
      </c>
      <c r="D36" t="s">
        <v>8</v>
      </c>
    </row>
    <row r="37" spans="2:6" x14ac:dyDescent="0.3">
      <c r="B37" t="s">
        <v>398</v>
      </c>
      <c r="C37" s="3">
        <f>Pelto!P29/Pelto!D29</f>
        <v>3500</v>
      </c>
      <c r="D37" t="s">
        <v>396</v>
      </c>
    </row>
    <row r="38" spans="2:6" x14ac:dyDescent="0.3">
      <c r="C38" s="49"/>
    </row>
    <row r="39" spans="2:6" x14ac:dyDescent="0.3">
      <c r="B39" t="s">
        <v>297</v>
      </c>
      <c r="C39" s="1">
        <f>RavinnetaseN!Q60</f>
        <v>1.521845702863555</v>
      </c>
      <c r="D39" t="s">
        <v>8</v>
      </c>
      <c r="F39" t="s">
        <v>967</v>
      </c>
    </row>
    <row r="40" spans="2:6" x14ac:dyDescent="0.3">
      <c r="B40" t="s">
        <v>167</v>
      </c>
      <c r="C40" s="3">
        <f>RavinnetaseN!I36</f>
        <v>2549.7468712504578</v>
      </c>
      <c r="D40" t="s">
        <v>537</v>
      </c>
    </row>
    <row r="41" spans="2:6" x14ac:dyDescent="0.3">
      <c r="B41" t="s">
        <v>378</v>
      </c>
      <c r="C41">
        <f>RavinnetaseP!J43</f>
        <v>7.881779227203733</v>
      </c>
      <c r="F41" t="s">
        <v>533</v>
      </c>
    </row>
    <row r="42" spans="2:6" x14ac:dyDescent="0.3">
      <c r="B42" t="s">
        <v>378</v>
      </c>
      <c r="C42">
        <f>RavinnetaseP!J45</f>
        <v>2.7458054421294404</v>
      </c>
      <c r="F42" t="s">
        <v>534</v>
      </c>
    </row>
    <row r="44" spans="2:6" x14ac:dyDescent="0.3">
      <c r="B44" t="s">
        <v>264</v>
      </c>
      <c r="C44" s="3">
        <f>Talous!C31</f>
        <v>2459.3427997351532</v>
      </c>
      <c r="D44" t="s">
        <v>265</v>
      </c>
      <c r="F44" t="s">
        <v>266</v>
      </c>
    </row>
    <row r="45" spans="2:6" x14ac:dyDescent="0.3">
      <c r="B45" t="s">
        <v>526</v>
      </c>
      <c r="C45" s="49">
        <f>Talous!C28</f>
        <v>0.24388670154533926</v>
      </c>
      <c r="D45" t="s">
        <v>527</v>
      </c>
    </row>
  </sheetData>
  <pageMargins left="0.7" right="0.7" top="0.75" bottom="0.75" header="0.3" footer="0.3"/>
  <pageSetup paperSize="9"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ul3"/>
  <dimension ref="A1:Q246"/>
  <sheetViews>
    <sheetView tabSelected="1" zoomScaleNormal="100" workbookViewId="0">
      <pane ySplit="1" topLeftCell="A2" activePane="bottomLeft" state="frozen"/>
      <selection pane="bottomLeft" activeCell="D6" sqref="D6"/>
    </sheetView>
  </sheetViews>
  <sheetFormatPr defaultRowHeight="14.4" x14ac:dyDescent="0.3"/>
  <cols>
    <col min="1" max="1" width="14.88671875" customWidth="1"/>
    <col min="2" max="2" width="25" customWidth="1"/>
    <col min="3" max="3" width="27" customWidth="1"/>
    <col min="5" max="5" width="11.44140625" customWidth="1"/>
    <col min="11" max="11" width="11.44140625" customWidth="1"/>
    <col min="14" max="14" width="13.6640625" customWidth="1"/>
    <col min="15" max="15" width="7.109375" customWidth="1"/>
  </cols>
  <sheetData>
    <row r="1" spans="1:11" x14ac:dyDescent="0.3">
      <c r="A1" t="s">
        <v>22</v>
      </c>
      <c r="C1" t="s">
        <v>23</v>
      </c>
      <c r="D1" t="s">
        <v>24</v>
      </c>
      <c r="F1" s="2" t="str">
        <f>IF(D2=2,"tarkista onko N lannoitus apilan osalta ok","")</f>
        <v/>
      </c>
    </row>
    <row r="2" spans="1:11" x14ac:dyDescent="0.3">
      <c r="A2" t="s">
        <v>39</v>
      </c>
      <c r="C2" t="s">
        <v>994</v>
      </c>
      <c r="D2" s="92">
        <v>1</v>
      </c>
      <c r="F2" t="s">
        <v>779</v>
      </c>
    </row>
    <row r="3" spans="1:11" x14ac:dyDescent="0.3">
      <c r="A3" t="s">
        <v>39</v>
      </c>
      <c r="C3" t="s">
        <v>540</v>
      </c>
      <c r="D3" s="183">
        <v>0</v>
      </c>
      <c r="F3" t="s">
        <v>539</v>
      </c>
    </row>
    <row r="4" spans="1:11" x14ac:dyDescent="0.3">
      <c r="A4" t="s">
        <v>39</v>
      </c>
      <c r="C4" t="s">
        <v>1008</v>
      </c>
      <c r="D4" s="183"/>
      <c r="F4" t="s">
        <v>1009</v>
      </c>
    </row>
    <row r="5" spans="1:11" x14ac:dyDescent="0.3">
      <c r="A5" t="s">
        <v>25</v>
      </c>
      <c r="C5" t="s">
        <v>26</v>
      </c>
      <c r="D5" s="22">
        <v>100</v>
      </c>
      <c r="E5" t="s">
        <v>30</v>
      </c>
      <c r="K5">
        <f>10.2/0.016</f>
        <v>637.49999999999989</v>
      </c>
    </row>
    <row r="6" spans="1:11" x14ac:dyDescent="0.3">
      <c r="A6" t="s">
        <v>25</v>
      </c>
      <c r="C6" t="s">
        <v>27</v>
      </c>
      <c r="D6" s="22">
        <v>0.35</v>
      </c>
      <c r="E6" t="s">
        <v>31</v>
      </c>
      <c r="F6" t="s">
        <v>257</v>
      </c>
    </row>
    <row r="7" spans="1:11" x14ac:dyDescent="0.3">
      <c r="A7" t="s">
        <v>25</v>
      </c>
      <c r="C7" t="s">
        <v>28</v>
      </c>
      <c r="D7" s="22">
        <v>2.2000000000000002</v>
      </c>
      <c r="E7" t="s">
        <v>32</v>
      </c>
      <c r="F7" t="s">
        <v>581</v>
      </c>
    </row>
    <row r="8" spans="1:11" x14ac:dyDescent="0.3">
      <c r="A8" t="s">
        <v>25</v>
      </c>
      <c r="C8" t="s">
        <v>399</v>
      </c>
      <c r="D8" s="41">
        <v>321.10000000000002</v>
      </c>
      <c r="E8" t="s">
        <v>33</v>
      </c>
      <c r="F8" t="s">
        <v>845</v>
      </c>
    </row>
    <row r="9" spans="1:11" x14ac:dyDescent="0.3">
      <c r="A9" t="s">
        <v>25</v>
      </c>
      <c r="C9" t="s">
        <v>400</v>
      </c>
      <c r="D9" s="41">
        <f>365-D8</f>
        <v>43.899999999999977</v>
      </c>
      <c r="E9" t="s">
        <v>33</v>
      </c>
      <c r="F9" t="s">
        <v>405</v>
      </c>
    </row>
    <row r="10" spans="1:11" x14ac:dyDescent="0.3">
      <c r="A10" t="s">
        <v>25</v>
      </c>
      <c r="C10" t="s">
        <v>401</v>
      </c>
      <c r="D10" s="22">
        <v>0</v>
      </c>
      <c r="E10" t="s">
        <v>269</v>
      </c>
      <c r="F10" t="s">
        <v>403</v>
      </c>
    </row>
    <row r="11" spans="1:11" x14ac:dyDescent="0.3">
      <c r="A11" t="s">
        <v>25</v>
      </c>
      <c r="C11" t="s">
        <v>268</v>
      </c>
      <c r="D11" s="22">
        <v>1.5</v>
      </c>
      <c r="E11" t="s">
        <v>270</v>
      </c>
      <c r="F11" t="s">
        <v>755</v>
      </c>
    </row>
    <row r="12" spans="1:11" x14ac:dyDescent="0.3">
      <c r="A12" t="s">
        <v>25</v>
      </c>
      <c r="C12" t="s">
        <v>49</v>
      </c>
      <c r="D12" s="116">
        <v>650</v>
      </c>
      <c r="E12" t="s">
        <v>0</v>
      </c>
      <c r="F12" t="s">
        <v>213</v>
      </c>
    </row>
    <row r="13" spans="1:11" x14ac:dyDescent="0.3">
      <c r="A13" t="s">
        <v>25</v>
      </c>
      <c r="B13" s="2" t="str">
        <f>IF(D13&gt;Karja!F12,"Pienennä energiapitoisuutta",IF(D13&lt;Karja!F12,"Suurenna energiapitoisuutta, ellei kokovilaa käytössä",""))</f>
        <v>Pienennä energiapitoisuutta</v>
      </c>
      <c r="C13" t="s">
        <v>404</v>
      </c>
      <c r="D13" s="276">
        <v>10.25</v>
      </c>
      <c r="E13" s="269">
        <f>Karja!F12</f>
        <v>10.148288571188033</v>
      </c>
      <c r="F13" t="s">
        <v>758</v>
      </c>
    </row>
    <row r="14" spans="1:11" x14ac:dyDescent="0.3">
      <c r="A14" t="s">
        <v>25</v>
      </c>
      <c r="C14" t="s">
        <v>62</v>
      </c>
      <c r="D14" s="41">
        <v>67</v>
      </c>
      <c r="E14" t="s">
        <v>63</v>
      </c>
      <c r="F14" t="s">
        <v>585</v>
      </c>
    </row>
    <row r="15" spans="1:11" x14ac:dyDescent="0.3">
      <c r="A15" t="s">
        <v>25</v>
      </c>
      <c r="C15" t="s">
        <v>193</v>
      </c>
      <c r="D15" s="41">
        <v>15</v>
      </c>
      <c r="E15" t="s">
        <v>18</v>
      </c>
      <c r="F15" t="s">
        <v>587</v>
      </c>
    </row>
    <row r="16" spans="1:11" x14ac:dyDescent="0.3">
      <c r="A16" t="s">
        <v>25</v>
      </c>
      <c r="C16" t="s">
        <v>582</v>
      </c>
      <c r="D16" s="41">
        <v>10.7</v>
      </c>
      <c r="E16" t="s">
        <v>50</v>
      </c>
      <c r="F16" t="s">
        <v>586</v>
      </c>
    </row>
    <row r="17" spans="1:17" x14ac:dyDescent="0.3">
      <c r="A17" t="s">
        <v>25</v>
      </c>
      <c r="C17" t="s">
        <v>583</v>
      </c>
      <c r="D17" s="41">
        <v>19</v>
      </c>
      <c r="E17" t="s">
        <v>50</v>
      </c>
      <c r="F17" t="s">
        <v>588</v>
      </c>
    </row>
    <row r="18" spans="1:17" x14ac:dyDescent="0.3">
      <c r="C18" t="s">
        <v>616</v>
      </c>
      <c r="D18" s="41">
        <v>6</v>
      </c>
      <c r="E18" t="s">
        <v>617</v>
      </c>
      <c r="F18" t="s">
        <v>618</v>
      </c>
    </row>
    <row r="19" spans="1:17" x14ac:dyDescent="0.3">
      <c r="A19" t="s">
        <v>25</v>
      </c>
      <c r="C19" t="s">
        <v>219</v>
      </c>
      <c r="D19" s="41"/>
      <c r="E19" t="s">
        <v>220</v>
      </c>
      <c r="F19" t="s">
        <v>958</v>
      </c>
    </row>
    <row r="20" spans="1:17" x14ac:dyDescent="0.3">
      <c r="A20" t="s">
        <v>25</v>
      </c>
      <c r="C20" t="s">
        <v>500</v>
      </c>
      <c r="D20" s="107">
        <v>1</v>
      </c>
      <c r="E20" t="s">
        <v>842</v>
      </c>
      <c r="F20" t="s">
        <v>920</v>
      </c>
    </row>
    <row r="21" spans="1:17" x14ac:dyDescent="0.3">
      <c r="A21" t="s">
        <v>25</v>
      </c>
      <c r="C21" t="s">
        <v>200</v>
      </c>
      <c r="D21" s="41">
        <v>35</v>
      </c>
      <c r="E21" t="s">
        <v>203</v>
      </c>
      <c r="F21" t="s">
        <v>975</v>
      </c>
    </row>
    <row r="22" spans="1:17" x14ac:dyDescent="0.3">
      <c r="A22" t="s">
        <v>25</v>
      </c>
      <c r="C22" t="s">
        <v>201</v>
      </c>
      <c r="D22" s="41">
        <v>43</v>
      </c>
      <c r="E22" t="s">
        <v>203</v>
      </c>
      <c r="F22" t="s">
        <v>976</v>
      </c>
    </row>
    <row r="23" spans="1:17" x14ac:dyDescent="0.3">
      <c r="A23" t="s">
        <v>25</v>
      </c>
      <c r="C23" t="s">
        <v>202</v>
      </c>
      <c r="D23" s="41">
        <v>48</v>
      </c>
      <c r="E23" t="s">
        <v>203</v>
      </c>
      <c r="F23" t="s">
        <v>213</v>
      </c>
    </row>
    <row r="24" spans="1:17" x14ac:dyDescent="0.3">
      <c r="A24" t="s">
        <v>95</v>
      </c>
      <c r="B24" t="s">
        <v>259</v>
      </c>
      <c r="C24" t="s">
        <v>328</v>
      </c>
      <c r="D24" s="182">
        <v>220</v>
      </c>
      <c r="E24" t="s">
        <v>96</v>
      </c>
      <c r="F24" t="s">
        <v>783</v>
      </c>
      <c r="N24" s="215" t="str">
        <f>IF(D2=2,"tarkista N lannoitus, typensidonnan kanssa 200 kgN N","")</f>
        <v/>
      </c>
      <c r="P24" s="216">
        <f>Tulokset!C32</f>
        <v>0</v>
      </c>
      <c r="Q24" s="2" t="s">
        <v>313</v>
      </c>
    </row>
    <row r="25" spans="1:17" x14ac:dyDescent="0.3">
      <c r="A25" t="s">
        <v>95</v>
      </c>
      <c r="B25" t="s">
        <v>349</v>
      </c>
      <c r="C25" t="s">
        <v>350</v>
      </c>
      <c r="D25" s="110">
        <f>IF(D2=2,0.4,0)</f>
        <v>0</v>
      </c>
      <c r="F25" t="s">
        <v>789</v>
      </c>
      <c r="M25" s="2"/>
      <c r="O25" s="2"/>
      <c r="P25" s="88"/>
      <c r="Q25" s="2"/>
    </row>
    <row r="26" spans="1:17" x14ac:dyDescent="0.3">
      <c r="A26" t="s">
        <v>312</v>
      </c>
      <c r="B26" t="s">
        <v>259</v>
      </c>
      <c r="C26" t="s">
        <v>318</v>
      </c>
      <c r="D26" s="54">
        <f>D24-D29</f>
        <v>116.78571428571428</v>
      </c>
      <c r="E26" t="s">
        <v>8</v>
      </c>
      <c r="F26" t="s">
        <v>679</v>
      </c>
      <c r="O26" s="2" t="str">
        <f>IF(D26&lt;0,"Lietteestä saadan typpeä enemmän kuin suunniteltu lannoitus","")</f>
        <v/>
      </c>
    </row>
    <row r="27" spans="1:17" x14ac:dyDescent="0.3">
      <c r="A27" t="s">
        <v>312</v>
      </c>
      <c r="B27" t="s">
        <v>259</v>
      </c>
      <c r="C27" t="s">
        <v>496</v>
      </c>
      <c r="D27" s="176">
        <v>24</v>
      </c>
      <c r="E27" t="s">
        <v>8</v>
      </c>
      <c r="F27" t="s">
        <v>485</v>
      </c>
      <c r="O27" s="2"/>
      <c r="P27" s="2"/>
    </row>
    <row r="28" spans="1:17" x14ac:dyDescent="0.3">
      <c r="A28" t="s">
        <v>95</v>
      </c>
      <c r="B28" t="s">
        <v>259</v>
      </c>
      <c r="C28" s="50" t="s">
        <v>153</v>
      </c>
      <c r="D28" s="89">
        <v>170</v>
      </c>
      <c r="E28" t="s">
        <v>147</v>
      </c>
      <c r="F28" t="s">
        <v>307</v>
      </c>
      <c r="O28" s="2" t="s">
        <v>327</v>
      </c>
    </row>
    <row r="29" spans="1:17" x14ac:dyDescent="0.3">
      <c r="A29" t="s">
        <v>95</v>
      </c>
      <c r="B29" t="s">
        <v>259</v>
      </c>
      <c r="C29" s="50" t="s">
        <v>182</v>
      </c>
      <c r="D29" s="53">
        <f>Funktiot!C20/Funktiot!C19*Lähtötiedot!D28</f>
        <v>103.21428571428572</v>
      </c>
      <c r="E29" t="s">
        <v>308</v>
      </c>
      <c r="F29" t="s">
        <v>788</v>
      </c>
    </row>
    <row r="30" spans="1:17" x14ac:dyDescent="0.3">
      <c r="A30" t="s">
        <v>95</v>
      </c>
      <c r="B30" t="s">
        <v>259</v>
      </c>
      <c r="C30" s="51" t="s">
        <v>214</v>
      </c>
      <c r="D30" s="22">
        <v>0.1</v>
      </c>
      <c r="E30" t="s">
        <v>31</v>
      </c>
      <c r="F30" t="s">
        <v>565</v>
      </c>
    </row>
    <row r="31" spans="1:17" x14ac:dyDescent="0.3">
      <c r="A31" t="s">
        <v>95</v>
      </c>
      <c r="B31" t="s">
        <v>259</v>
      </c>
      <c r="C31" s="50" t="s">
        <v>373</v>
      </c>
      <c r="D31" s="91">
        <f>Pelto!D13</f>
        <v>6.5734591999999994</v>
      </c>
      <c r="E31" t="s">
        <v>100</v>
      </c>
      <c r="F31" t="s">
        <v>685</v>
      </c>
    </row>
    <row r="32" spans="1:17" x14ac:dyDescent="0.3">
      <c r="A32" t="s">
        <v>95</v>
      </c>
      <c r="B32" t="s">
        <v>259</v>
      </c>
      <c r="C32" t="s">
        <v>190</v>
      </c>
      <c r="D32" s="22">
        <v>0.8</v>
      </c>
      <c r="E32" t="s">
        <v>176</v>
      </c>
      <c r="F32" t="s">
        <v>375</v>
      </c>
    </row>
    <row r="33" spans="1:11" x14ac:dyDescent="0.3">
      <c r="A33" t="s">
        <v>95</v>
      </c>
      <c r="B33" t="s">
        <v>106</v>
      </c>
      <c r="C33" t="s">
        <v>151</v>
      </c>
      <c r="D33" s="22">
        <v>110</v>
      </c>
      <c r="E33" t="s">
        <v>96</v>
      </c>
      <c r="F33" t="s">
        <v>185</v>
      </c>
    </row>
    <row r="34" spans="1:11" x14ac:dyDescent="0.3">
      <c r="A34" t="s">
        <v>95</v>
      </c>
      <c r="B34" t="s">
        <v>106</v>
      </c>
      <c r="C34" s="50" t="s">
        <v>347</v>
      </c>
      <c r="D34" s="87">
        <v>135</v>
      </c>
      <c r="E34" t="s">
        <v>147</v>
      </c>
      <c r="F34" t="s">
        <v>484</v>
      </c>
    </row>
    <row r="35" spans="1:11" x14ac:dyDescent="0.3">
      <c r="A35" t="s">
        <v>95</v>
      </c>
      <c r="B35" t="s">
        <v>106</v>
      </c>
      <c r="C35" s="50" t="s">
        <v>184</v>
      </c>
      <c r="D35" s="3">
        <f>Funktiot!C20/Funktiot!C19*Lähtötiedot!D34</f>
        <v>81.964285714285722</v>
      </c>
      <c r="E35" t="s">
        <v>96</v>
      </c>
      <c r="F35" t="s">
        <v>497</v>
      </c>
    </row>
    <row r="36" spans="1:11" x14ac:dyDescent="0.3">
      <c r="A36" t="s">
        <v>95</v>
      </c>
      <c r="B36" t="s">
        <v>106</v>
      </c>
      <c r="C36" s="50" t="s">
        <v>496</v>
      </c>
      <c r="D36" s="3">
        <v>24</v>
      </c>
      <c r="F36" t="s">
        <v>498</v>
      </c>
    </row>
    <row r="37" spans="1:11" x14ac:dyDescent="0.3">
      <c r="A37" s="4" t="s">
        <v>95</v>
      </c>
      <c r="B37" s="67" t="s">
        <v>106</v>
      </c>
      <c r="C37" s="190" t="s">
        <v>191</v>
      </c>
      <c r="D37" s="112">
        <v>6.5</v>
      </c>
      <c r="E37" s="67" t="s">
        <v>100</v>
      </c>
      <c r="F37" s="67" t="s">
        <v>413</v>
      </c>
      <c r="G37" s="67"/>
      <c r="H37" s="67"/>
      <c r="I37" s="67"/>
      <c r="J37" s="67"/>
      <c r="K37" s="5"/>
    </row>
    <row r="38" spans="1:11" x14ac:dyDescent="0.3">
      <c r="A38" s="6" t="s">
        <v>25</v>
      </c>
      <c r="B38" s="7" t="s">
        <v>106</v>
      </c>
      <c r="C38" s="191" t="s">
        <v>419</v>
      </c>
      <c r="D38" s="113">
        <v>0.1</v>
      </c>
      <c r="E38" s="7"/>
      <c r="F38" s="85" t="s">
        <v>576</v>
      </c>
      <c r="G38" s="7"/>
      <c r="H38" s="7"/>
      <c r="I38" s="7"/>
      <c r="J38" s="7"/>
      <c r="K38" s="8"/>
    </row>
    <row r="39" spans="1:11" x14ac:dyDescent="0.3">
      <c r="A39" s="9" t="s">
        <v>25</v>
      </c>
      <c r="B39" s="15" t="s">
        <v>106</v>
      </c>
      <c r="C39" s="192" t="s">
        <v>420</v>
      </c>
      <c r="D39" s="114">
        <v>0.1</v>
      </c>
      <c r="E39" s="15"/>
      <c r="F39" s="15" t="s">
        <v>759</v>
      </c>
      <c r="G39" s="15"/>
      <c r="H39" s="15"/>
      <c r="I39" s="15"/>
      <c r="J39" s="15"/>
      <c r="K39" s="11"/>
    </row>
    <row r="40" spans="1:11" x14ac:dyDescent="0.3">
      <c r="A40" t="s">
        <v>95</v>
      </c>
      <c r="B40" t="s">
        <v>260</v>
      </c>
      <c r="C40" t="s">
        <v>152</v>
      </c>
      <c r="D40" s="22">
        <v>90</v>
      </c>
      <c r="E40" t="s">
        <v>96</v>
      </c>
      <c r="F40" t="s">
        <v>187</v>
      </c>
    </row>
    <row r="41" spans="1:11" x14ac:dyDescent="0.3">
      <c r="A41" t="s">
        <v>95</v>
      </c>
      <c r="B41" t="s">
        <v>260</v>
      </c>
      <c r="C41" s="50" t="s">
        <v>346</v>
      </c>
      <c r="D41" s="3">
        <f>Funktiot!C19/Funktiot!C20*Lähtötiedot!D42</f>
        <v>90.588235294117638</v>
      </c>
      <c r="E41" t="s">
        <v>147</v>
      </c>
      <c r="F41" t="s">
        <v>261</v>
      </c>
      <c r="I41" s="2" t="str">
        <f>IF(D42&gt;55,"Viljalle ei voi antaa P rajoituksen vuoksi näin paljon lietettä","")</f>
        <v/>
      </c>
      <c r="J41" s="2"/>
    </row>
    <row r="42" spans="1:11" x14ac:dyDescent="0.3">
      <c r="A42" t="s">
        <v>95</v>
      </c>
      <c r="B42" t="s">
        <v>260</v>
      </c>
      <c r="C42" s="50" t="s">
        <v>183</v>
      </c>
      <c r="D42" s="22">
        <v>55</v>
      </c>
      <c r="E42" t="s">
        <v>96</v>
      </c>
      <c r="F42" t="s">
        <v>262</v>
      </c>
    </row>
    <row r="43" spans="1:11" x14ac:dyDescent="0.3">
      <c r="A43" t="s">
        <v>95</v>
      </c>
      <c r="B43" t="s">
        <v>260</v>
      </c>
      <c r="C43" s="50" t="s">
        <v>496</v>
      </c>
      <c r="D43" s="41">
        <v>16</v>
      </c>
      <c r="F43" t="s">
        <v>499</v>
      </c>
    </row>
    <row r="44" spans="1:11" x14ac:dyDescent="0.3">
      <c r="A44" t="s">
        <v>95</v>
      </c>
      <c r="B44" t="s">
        <v>260</v>
      </c>
      <c r="C44" t="s">
        <v>320</v>
      </c>
      <c r="D44" s="58">
        <v>4</v>
      </c>
      <c r="E44" t="s">
        <v>100</v>
      </c>
      <c r="F44" t="s">
        <v>658</v>
      </c>
    </row>
    <row r="45" spans="1:11" x14ac:dyDescent="0.3">
      <c r="A45" t="s">
        <v>95</v>
      </c>
      <c r="C45" s="51" t="s">
        <v>192</v>
      </c>
      <c r="D45" s="22">
        <v>2.8</v>
      </c>
      <c r="E45" t="s">
        <v>177</v>
      </c>
      <c r="F45" t="s">
        <v>372</v>
      </c>
    </row>
    <row r="46" spans="1:11" x14ac:dyDescent="0.3">
      <c r="A46" t="s">
        <v>95</v>
      </c>
      <c r="C46" s="51" t="s">
        <v>178</v>
      </c>
      <c r="D46" s="279">
        <v>1.7</v>
      </c>
      <c r="E46" t="s">
        <v>177</v>
      </c>
      <c r="F46" t="s">
        <v>314</v>
      </c>
    </row>
    <row r="47" spans="1:11" x14ac:dyDescent="0.3">
      <c r="A47" t="s">
        <v>95</v>
      </c>
      <c r="C47" s="51" t="s">
        <v>479</v>
      </c>
      <c r="D47" s="22">
        <v>0.5</v>
      </c>
      <c r="E47" t="s">
        <v>480</v>
      </c>
      <c r="F47" t="s">
        <v>481</v>
      </c>
    </row>
    <row r="49" spans="1:12" x14ac:dyDescent="0.3">
      <c r="A49" t="s">
        <v>66</v>
      </c>
      <c r="F49" t="s">
        <v>50</v>
      </c>
      <c r="G49" t="s">
        <v>65</v>
      </c>
      <c r="H49" t="s">
        <v>367</v>
      </c>
      <c r="I49" t="s">
        <v>299</v>
      </c>
      <c r="J49" t="s">
        <v>605</v>
      </c>
      <c r="K49" t="s">
        <v>67</v>
      </c>
      <c r="L49" t="s">
        <v>298</v>
      </c>
    </row>
    <row r="50" spans="1:12" x14ac:dyDescent="0.3">
      <c r="A50" t="s">
        <v>22</v>
      </c>
      <c r="B50" t="s">
        <v>589</v>
      </c>
      <c r="C50" t="s">
        <v>301</v>
      </c>
      <c r="D50" t="s">
        <v>302</v>
      </c>
      <c r="F50" t="s">
        <v>50</v>
      </c>
      <c r="G50" t="s">
        <v>65</v>
      </c>
      <c r="H50" t="s">
        <v>367</v>
      </c>
      <c r="I50" t="s">
        <v>299</v>
      </c>
      <c r="J50" t="s">
        <v>605</v>
      </c>
      <c r="K50" t="s">
        <v>67</v>
      </c>
      <c r="L50" t="s">
        <v>298</v>
      </c>
    </row>
    <row r="51" spans="1:12" x14ac:dyDescent="0.3">
      <c r="A51">
        <v>0</v>
      </c>
      <c r="B51" t="s">
        <v>740</v>
      </c>
      <c r="C51" s="4" t="s">
        <v>737</v>
      </c>
      <c r="D51" s="5">
        <v>6.4</v>
      </c>
      <c r="E51" s="85" t="s">
        <v>77</v>
      </c>
      <c r="F51" s="4">
        <v>12.76</v>
      </c>
      <c r="G51" s="67">
        <v>121</v>
      </c>
      <c r="H51" s="67">
        <v>3.6</v>
      </c>
      <c r="I51" s="67">
        <v>94</v>
      </c>
      <c r="J51" s="67">
        <v>5</v>
      </c>
      <c r="K51" s="5">
        <v>860</v>
      </c>
    </row>
    <row r="52" spans="1:12" x14ac:dyDescent="0.3">
      <c r="A52">
        <v>0</v>
      </c>
      <c r="B52" t="s">
        <v>740</v>
      </c>
      <c r="C52" s="6" t="s">
        <v>738</v>
      </c>
      <c r="D52" s="8">
        <v>2.6</v>
      </c>
      <c r="E52" s="85" t="s">
        <v>77</v>
      </c>
      <c r="F52" s="6">
        <v>11.41</v>
      </c>
      <c r="G52" s="7">
        <v>379</v>
      </c>
      <c r="H52" s="85">
        <v>13.2</v>
      </c>
      <c r="I52" s="7">
        <v>169</v>
      </c>
      <c r="J52" s="85">
        <v>15</v>
      </c>
      <c r="K52" s="8">
        <v>890</v>
      </c>
    </row>
    <row r="53" spans="1:12" x14ac:dyDescent="0.3">
      <c r="A53">
        <v>0</v>
      </c>
      <c r="B53" t="s">
        <v>740</v>
      </c>
      <c r="C53" s="6" t="s">
        <v>733</v>
      </c>
      <c r="D53" s="8">
        <v>10.4</v>
      </c>
      <c r="E53" s="85" t="s">
        <v>77</v>
      </c>
      <c r="F53" s="6">
        <v>10.96</v>
      </c>
      <c r="G53" s="7">
        <v>148</v>
      </c>
      <c r="H53" s="85">
        <v>2.9</v>
      </c>
      <c r="I53" s="7">
        <v>82</v>
      </c>
      <c r="J53" s="85">
        <v>28</v>
      </c>
      <c r="K53" s="8">
        <v>270</v>
      </c>
      <c r="L53" t="s">
        <v>735</v>
      </c>
    </row>
    <row r="54" spans="1:12" x14ac:dyDescent="0.3">
      <c r="A54">
        <v>0</v>
      </c>
      <c r="B54" t="s">
        <v>740</v>
      </c>
      <c r="C54" s="6" t="s">
        <v>734</v>
      </c>
      <c r="D54" s="98" t="s">
        <v>745</v>
      </c>
      <c r="E54" s="85" t="s">
        <v>77</v>
      </c>
      <c r="F54" s="6">
        <v>10.1</v>
      </c>
      <c r="G54" s="85">
        <v>140</v>
      </c>
      <c r="H54" s="85">
        <v>2.9</v>
      </c>
      <c r="I54" s="85">
        <v>79</v>
      </c>
      <c r="J54" s="85">
        <v>25</v>
      </c>
      <c r="K54" s="8">
        <v>300</v>
      </c>
      <c r="L54" t="s">
        <v>746</v>
      </c>
    </row>
    <row r="55" spans="1:12" x14ac:dyDescent="0.3">
      <c r="A55">
        <v>0</v>
      </c>
      <c r="B55" t="s">
        <v>740</v>
      </c>
      <c r="C55" s="6" t="s">
        <v>64</v>
      </c>
      <c r="D55" s="8">
        <v>0</v>
      </c>
      <c r="E55" s="85" t="s">
        <v>77</v>
      </c>
      <c r="F55" s="6">
        <v>10.24</v>
      </c>
      <c r="G55" s="85">
        <v>100</v>
      </c>
      <c r="H55" s="85">
        <v>2.5</v>
      </c>
      <c r="I55" s="85">
        <v>76</v>
      </c>
      <c r="J55" s="85">
        <v>14</v>
      </c>
      <c r="K55" s="8">
        <v>350</v>
      </c>
      <c r="L55" t="s">
        <v>739</v>
      </c>
    </row>
    <row r="56" spans="1:12" x14ac:dyDescent="0.3">
      <c r="A56">
        <v>0</v>
      </c>
      <c r="B56" t="s">
        <v>740</v>
      </c>
      <c r="C56" s="6" t="s">
        <v>37</v>
      </c>
      <c r="D56" s="8">
        <v>0.2</v>
      </c>
      <c r="E56" s="85" t="s">
        <v>77</v>
      </c>
      <c r="F56" s="6">
        <v>0</v>
      </c>
      <c r="G56" s="7">
        <v>0</v>
      </c>
      <c r="H56" s="7">
        <v>5</v>
      </c>
      <c r="I56" s="7">
        <v>0</v>
      </c>
      <c r="J56" s="7">
        <v>0</v>
      </c>
      <c r="K56" s="8">
        <v>985</v>
      </c>
    </row>
    <row r="57" spans="1:12" x14ac:dyDescent="0.3">
      <c r="A57">
        <v>0</v>
      </c>
      <c r="B57" t="s">
        <v>740</v>
      </c>
      <c r="C57" s="9" t="s">
        <v>38</v>
      </c>
      <c r="D57" s="90">
        <v>28.4</v>
      </c>
      <c r="E57" s="85" t="s">
        <v>0</v>
      </c>
      <c r="F57" s="9"/>
      <c r="G57" s="15"/>
      <c r="H57" s="15"/>
      <c r="I57" s="15"/>
      <c r="J57" s="15"/>
      <c r="K57" s="11"/>
    </row>
    <row r="58" spans="1:12" x14ac:dyDescent="0.3">
      <c r="A58">
        <v>0.1</v>
      </c>
      <c r="B58" t="s">
        <v>959</v>
      </c>
      <c r="C58" s="4" t="s">
        <v>737</v>
      </c>
      <c r="D58" s="240">
        <v>8.81</v>
      </c>
      <c r="E58" s="85" t="s">
        <v>77</v>
      </c>
      <c r="F58" s="4">
        <v>12.1</v>
      </c>
      <c r="G58" s="67">
        <v>140.5</v>
      </c>
      <c r="H58" s="67">
        <v>37.5</v>
      </c>
      <c r="I58" s="67">
        <v>103</v>
      </c>
      <c r="J58" s="67">
        <v>6</v>
      </c>
      <c r="K58" s="5">
        <v>880</v>
      </c>
      <c r="L58" t="s">
        <v>966</v>
      </c>
    </row>
    <row r="59" spans="1:12" x14ac:dyDescent="0.3">
      <c r="A59">
        <v>0.1</v>
      </c>
      <c r="B59" t="s">
        <v>959</v>
      </c>
      <c r="C59" s="6" t="s">
        <v>738</v>
      </c>
      <c r="D59" s="225">
        <v>0</v>
      </c>
      <c r="E59" s="85" t="s">
        <v>77</v>
      </c>
      <c r="F59" s="6">
        <v>11.41</v>
      </c>
      <c r="G59" s="7">
        <v>375</v>
      </c>
      <c r="H59" s="85">
        <v>13.2</v>
      </c>
      <c r="I59" s="7">
        <v>169</v>
      </c>
      <c r="J59" s="85">
        <v>15</v>
      </c>
      <c r="K59" s="8">
        <v>890</v>
      </c>
      <c r="L59" t="s">
        <v>964</v>
      </c>
    </row>
    <row r="60" spans="1:12" x14ac:dyDescent="0.3">
      <c r="A60">
        <v>0.1</v>
      </c>
      <c r="B60" t="s">
        <v>959</v>
      </c>
      <c r="C60" s="6" t="s">
        <v>733</v>
      </c>
      <c r="D60" s="226">
        <f>0.59*12.98</f>
        <v>7.6581999999999999</v>
      </c>
      <c r="E60" s="85" t="s">
        <v>77</v>
      </c>
      <c r="F60" s="6">
        <f>645*0.016</f>
        <v>10.32</v>
      </c>
      <c r="G60" s="7">
        <v>171</v>
      </c>
      <c r="H60" s="7">
        <v>2.8</v>
      </c>
      <c r="I60" s="7">
        <v>81</v>
      </c>
      <c r="J60" s="7">
        <v>28</v>
      </c>
      <c r="K60" s="8">
        <v>221</v>
      </c>
      <c r="L60" t="s">
        <v>965</v>
      </c>
    </row>
    <row r="61" spans="1:12" x14ac:dyDescent="0.3">
      <c r="A61">
        <v>0.1</v>
      </c>
      <c r="B61" t="s">
        <v>959</v>
      </c>
      <c r="C61" s="6" t="s">
        <v>734</v>
      </c>
      <c r="D61" s="225" t="s">
        <v>745</v>
      </c>
      <c r="E61" s="85" t="s">
        <v>77</v>
      </c>
      <c r="F61" s="6">
        <v>10.1</v>
      </c>
      <c r="G61" s="85">
        <v>140</v>
      </c>
      <c r="H61" s="85">
        <v>2.9</v>
      </c>
      <c r="I61" s="85">
        <v>79</v>
      </c>
      <c r="J61" s="85">
        <v>25</v>
      </c>
      <c r="K61" s="8">
        <v>300</v>
      </c>
      <c r="L61" t="s">
        <v>746</v>
      </c>
    </row>
    <row r="62" spans="1:12" x14ac:dyDescent="0.3">
      <c r="A62">
        <v>0.1</v>
      </c>
      <c r="B62" t="s">
        <v>959</v>
      </c>
      <c r="C62" s="6" t="s">
        <v>64</v>
      </c>
      <c r="D62" s="226">
        <f>0.41*12.98</f>
        <v>5.3217999999999996</v>
      </c>
      <c r="E62" s="85" t="s">
        <v>77</v>
      </c>
      <c r="F62" s="6">
        <v>9.5299999999999994</v>
      </c>
      <c r="G62" s="7">
        <v>118</v>
      </c>
      <c r="H62" s="7">
        <v>2.5</v>
      </c>
      <c r="I62" s="7">
        <v>72</v>
      </c>
      <c r="J62" s="7">
        <v>14</v>
      </c>
      <c r="K62" s="8">
        <v>321</v>
      </c>
    </row>
    <row r="63" spans="1:12" x14ac:dyDescent="0.3">
      <c r="A63">
        <v>0.1</v>
      </c>
      <c r="B63" t="s">
        <v>959</v>
      </c>
      <c r="C63" s="6" t="s">
        <v>37</v>
      </c>
      <c r="D63" s="225">
        <v>0</v>
      </c>
      <c r="E63" s="85" t="s">
        <v>77</v>
      </c>
      <c r="F63" s="6"/>
      <c r="G63" s="7"/>
      <c r="H63" s="85">
        <v>5</v>
      </c>
      <c r="I63" s="7"/>
      <c r="J63" s="7"/>
      <c r="K63" s="8"/>
    </row>
    <row r="64" spans="1:12" x14ac:dyDescent="0.3">
      <c r="A64">
        <v>0.1</v>
      </c>
      <c r="B64" t="s">
        <v>959</v>
      </c>
      <c r="C64" s="9" t="s">
        <v>38</v>
      </c>
      <c r="D64" s="90">
        <v>30.3</v>
      </c>
      <c r="E64" s="85" t="s">
        <v>0</v>
      </c>
      <c r="F64" s="9"/>
      <c r="G64" s="15"/>
      <c r="H64" s="15"/>
      <c r="I64" s="15"/>
      <c r="J64" s="15"/>
      <c r="K64" s="11"/>
    </row>
    <row r="65" spans="1:12" x14ac:dyDescent="0.3">
      <c r="A65">
        <v>0.11</v>
      </c>
      <c r="B65" t="s">
        <v>960</v>
      </c>
      <c r="C65" s="4" t="s">
        <v>737</v>
      </c>
      <c r="D65" s="240">
        <v>8.6300000000000008</v>
      </c>
      <c r="E65" s="85" t="s">
        <v>77</v>
      </c>
      <c r="F65" s="6">
        <v>12.1</v>
      </c>
      <c r="G65" s="7">
        <v>140.5</v>
      </c>
      <c r="H65" s="67">
        <v>37.5</v>
      </c>
      <c r="I65" s="85">
        <v>103</v>
      </c>
      <c r="J65" s="7">
        <v>6</v>
      </c>
      <c r="K65" s="8">
        <v>880</v>
      </c>
      <c r="L65" t="s">
        <v>966</v>
      </c>
    </row>
    <row r="66" spans="1:12" x14ac:dyDescent="0.3">
      <c r="A66">
        <v>0.11</v>
      </c>
      <c r="B66" t="s">
        <v>960</v>
      </c>
      <c r="C66" s="6" t="s">
        <v>738</v>
      </c>
      <c r="D66" s="225">
        <v>0</v>
      </c>
      <c r="E66" s="85" t="s">
        <v>77</v>
      </c>
      <c r="F66" s="6">
        <v>11.41</v>
      </c>
      <c r="G66" s="7">
        <v>375</v>
      </c>
      <c r="H66" s="85">
        <v>13.2</v>
      </c>
      <c r="I66" s="7">
        <v>169</v>
      </c>
      <c r="J66" s="85">
        <v>15</v>
      </c>
      <c r="K66" s="8">
        <v>890</v>
      </c>
    </row>
    <row r="67" spans="1:12" x14ac:dyDescent="0.3">
      <c r="A67">
        <v>0.11</v>
      </c>
      <c r="B67" t="s">
        <v>960</v>
      </c>
      <c r="C67" s="6" t="s">
        <v>733</v>
      </c>
      <c r="D67" s="225">
        <v>12.04</v>
      </c>
      <c r="E67" s="85" t="s">
        <v>77</v>
      </c>
      <c r="F67" s="6">
        <f>645*0.016</f>
        <v>10.32</v>
      </c>
      <c r="G67" s="7">
        <v>171</v>
      </c>
      <c r="H67" s="7">
        <v>2.8</v>
      </c>
      <c r="I67" s="7">
        <v>81</v>
      </c>
      <c r="J67" s="7">
        <v>28</v>
      </c>
      <c r="K67" s="8">
        <v>221</v>
      </c>
      <c r="L67" t="s">
        <v>965</v>
      </c>
    </row>
    <row r="68" spans="1:12" x14ac:dyDescent="0.3">
      <c r="A68">
        <v>0.11</v>
      </c>
      <c r="B68" t="s">
        <v>960</v>
      </c>
      <c r="C68" s="6" t="s">
        <v>734</v>
      </c>
      <c r="D68" s="225" t="s">
        <v>745</v>
      </c>
      <c r="E68" s="85" t="s">
        <v>77</v>
      </c>
      <c r="F68" s="6">
        <v>10.1</v>
      </c>
      <c r="G68" s="85">
        <v>140</v>
      </c>
      <c r="H68" s="85">
        <v>2.9</v>
      </c>
      <c r="I68" s="85">
        <v>79</v>
      </c>
      <c r="J68" s="85">
        <v>25</v>
      </c>
      <c r="K68" s="8">
        <v>300</v>
      </c>
      <c r="L68" t="s">
        <v>746</v>
      </c>
    </row>
    <row r="69" spans="1:12" x14ac:dyDescent="0.3">
      <c r="A69">
        <v>0.11</v>
      </c>
      <c r="B69" t="s">
        <v>960</v>
      </c>
      <c r="C69" s="6" t="s">
        <v>64</v>
      </c>
      <c r="D69" s="225">
        <v>0</v>
      </c>
      <c r="E69" s="85" t="s">
        <v>77</v>
      </c>
      <c r="F69" s="6">
        <v>9.5299999999999994</v>
      </c>
      <c r="G69" s="7">
        <v>118</v>
      </c>
      <c r="H69" s="85">
        <v>2.5</v>
      </c>
      <c r="I69" s="85">
        <v>72</v>
      </c>
      <c r="J69" s="7">
        <v>14</v>
      </c>
      <c r="K69" s="8">
        <v>321</v>
      </c>
    </row>
    <row r="70" spans="1:12" x14ac:dyDescent="0.3">
      <c r="A70">
        <v>0.11</v>
      </c>
      <c r="B70" t="s">
        <v>960</v>
      </c>
      <c r="C70" s="6" t="s">
        <v>37</v>
      </c>
      <c r="D70" s="225">
        <v>0</v>
      </c>
      <c r="E70" s="85" t="s">
        <v>77</v>
      </c>
      <c r="F70" s="6"/>
      <c r="G70" s="7"/>
      <c r="H70" s="85">
        <v>5</v>
      </c>
      <c r="I70" s="7"/>
      <c r="J70" s="7"/>
      <c r="K70" s="8"/>
    </row>
    <row r="71" spans="1:12" x14ac:dyDescent="0.3">
      <c r="A71">
        <v>0.11</v>
      </c>
      <c r="B71" t="s">
        <v>960</v>
      </c>
      <c r="C71" s="9" t="s">
        <v>38</v>
      </c>
      <c r="D71" s="90">
        <v>29.9</v>
      </c>
      <c r="E71" s="85" t="s">
        <v>0</v>
      </c>
      <c r="F71" s="6"/>
      <c r="G71" s="7"/>
      <c r="H71" s="7"/>
      <c r="I71" s="7"/>
      <c r="J71" s="7"/>
      <c r="K71" s="8"/>
    </row>
    <row r="72" spans="1:12" x14ac:dyDescent="0.3">
      <c r="A72">
        <v>0.12</v>
      </c>
      <c r="B72" t="s">
        <v>961</v>
      </c>
      <c r="C72" s="4" t="s">
        <v>737</v>
      </c>
      <c r="D72" s="240">
        <v>8.75</v>
      </c>
      <c r="E72" s="85" t="s">
        <v>77</v>
      </c>
      <c r="F72" s="6">
        <v>12.15</v>
      </c>
      <c r="G72" s="7">
        <v>115</v>
      </c>
      <c r="H72" s="67">
        <f>0.03*1000</f>
        <v>30</v>
      </c>
      <c r="I72" s="85">
        <v>95</v>
      </c>
      <c r="J72" s="85">
        <v>7</v>
      </c>
      <c r="K72" s="8">
        <v>880</v>
      </c>
      <c r="L72" t="s">
        <v>966</v>
      </c>
    </row>
    <row r="73" spans="1:12" x14ac:dyDescent="0.3">
      <c r="A73">
        <v>0.12</v>
      </c>
      <c r="B73" t="s">
        <v>961</v>
      </c>
      <c r="C73" s="6" t="s">
        <v>738</v>
      </c>
      <c r="D73" s="225">
        <v>0</v>
      </c>
      <c r="E73" s="85" t="s">
        <v>77</v>
      </c>
      <c r="F73" s="6">
        <v>11.41</v>
      </c>
      <c r="G73" s="7">
        <v>375</v>
      </c>
      <c r="H73" s="85">
        <v>13.2</v>
      </c>
      <c r="I73" s="7">
        <v>169</v>
      </c>
      <c r="J73" s="85">
        <v>15</v>
      </c>
      <c r="K73" s="8">
        <v>890</v>
      </c>
    </row>
    <row r="74" spans="1:12" x14ac:dyDescent="0.3">
      <c r="A74">
        <v>0.12</v>
      </c>
      <c r="B74" t="s">
        <v>961</v>
      </c>
      <c r="C74" s="6" t="s">
        <v>733</v>
      </c>
      <c r="D74" s="226">
        <f>0.8*12.19</f>
        <v>9.7520000000000007</v>
      </c>
      <c r="E74" s="85" t="s">
        <v>77</v>
      </c>
      <c r="F74" s="6">
        <f>645*0.016</f>
        <v>10.32</v>
      </c>
      <c r="G74" s="7">
        <v>171</v>
      </c>
      <c r="H74" s="7">
        <v>2.8</v>
      </c>
      <c r="I74" s="7">
        <v>81</v>
      </c>
      <c r="J74" s="7">
        <v>28</v>
      </c>
      <c r="K74" s="8">
        <v>221</v>
      </c>
      <c r="L74" t="s">
        <v>965</v>
      </c>
    </row>
    <row r="75" spans="1:12" x14ac:dyDescent="0.3">
      <c r="A75">
        <v>0.12</v>
      </c>
      <c r="B75" t="s">
        <v>961</v>
      </c>
      <c r="C75" s="6" t="s">
        <v>734</v>
      </c>
      <c r="D75" s="225" t="s">
        <v>745</v>
      </c>
      <c r="E75" s="85" t="s">
        <v>77</v>
      </c>
      <c r="F75" s="6">
        <v>10.1</v>
      </c>
      <c r="G75" s="85">
        <v>140</v>
      </c>
      <c r="H75" s="85">
        <v>2.9</v>
      </c>
      <c r="I75" s="85">
        <v>79</v>
      </c>
      <c r="J75" s="85">
        <v>25</v>
      </c>
      <c r="K75" s="8">
        <v>300</v>
      </c>
      <c r="L75" t="s">
        <v>746</v>
      </c>
    </row>
    <row r="76" spans="1:12" x14ac:dyDescent="0.3">
      <c r="A76">
        <v>0.12</v>
      </c>
      <c r="B76" t="s">
        <v>961</v>
      </c>
      <c r="C76" s="6" t="s">
        <v>64</v>
      </c>
      <c r="D76" s="226">
        <f>0.2*12.19</f>
        <v>2.4380000000000002</v>
      </c>
      <c r="E76" s="85" t="s">
        <v>77</v>
      </c>
      <c r="F76" s="6">
        <v>9.5299999999999994</v>
      </c>
      <c r="G76" s="85">
        <v>118</v>
      </c>
      <c r="H76" s="85">
        <v>2.5</v>
      </c>
      <c r="I76" s="85">
        <v>72</v>
      </c>
      <c r="J76" s="85">
        <v>14</v>
      </c>
      <c r="K76" s="8">
        <v>321</v>
      </c>
      <c r="L76" t="s">
        <v>963</v>
      </c>
    </row>
    <row r="77" spans="1:12" x14ac:dyDescent="0.3">
      <c r="A77">
        <v>0.12</v>
      </c>
      <c r="B77" t="s">
        <v>961</v>
      </c>
      <c r="C77" s="6" t="s">
        <v>37</v>
      </c>
      <c r="D77" s="225">
        <v>0</v>
      </c>
      <c r="E77" s="85" t="s">
        <v>77</v>
      </c>
      <c r="F77" s="6"/>
      <c r="G77" s="7"/>
      <c r="H77" s="85">
        <v>5</v>
      </c>
      <c r="I77" s="7"/>
      <c r="J77" s="7"/>
      <c r="K77" s="8"/>
    </row>
    <row r="78" spans="1:12" x14ac:dyDescent="0.3">
      <c r="A78">
        <v>0.12</v>
      </c>
      <c r="B78" t="s">
        <v>961</v>
      </c>
      <c r="C78" s="9" t="s">
        <v>38</v>
      </c>
      <c r="D78" s="90">
        <v>29.4</v>
      </c>
      <c r="E78" s="85" t="s">
        <v>0</v>
      </c>
      <c r="F78" s="6"/>
      <c r="G78" s="6"/>
      <c r="H78" s="7"/>
      <c r="I78" s="7"/>
      <c r="J78" s="7"/>
      <c r="K78" s="8"/>
    </row>
    <row r="79" spans="1:12" x14ac:dyDescent="0.3">
      <c r="A79">
        <v>0.13</v>
      </c>
      <c r="B79" t="s">
        <v>962</v>
      </c>
      <c r="C79" s="4" t="s">
        <v>737</v>
      </c>
      <c r="D79" s="240">
        <v>6.96</v>
      </c>
      <c r="E79" s="85" t="s">
        <v>77</v>
      </c>
      <c r="F79" s="323">
        <v>12.15</v>
      </c>
      <c r="G79" s="7">
        <v>115</v>
      </c>
      <c r="H79" s="67">
        <v>30</v>
      </c>
      <c r="I79" s="7">
        <v>95</v>
      </c>
      <c r="J79" s="7">
        <v>7</v>
      </c>
      <c r="K79" s="8">
        <v>880</v>
      </c>
      <c r="L79" t="s">
        <v>1010</v>
      </c>
    </row>
    <row r="80" spans="1:12" x14ac:dyDescent="0.3">
      <c r="A80">
        <v>0.13</v>
      </c>
      <c r="B80" t="s">
        <v>962</v>
      </c>
      <c r="C80" s="6" t="s">
        <v>738</v>
      </c>
      <c r="D80" s="225">
        <v>1.74</v>
      </c>
      <c r="E80" s="85" t="s">
        <v>77</v>
      </c>
      <c r="F80" s="6">
        <v>11.41</v>
      </c>
      <c r="G80" s="7">
        <v>375</v>
      </c>
      <c r="H80" s="85">
        <v>13.2</v>
      </c>
      <c r="I80" s="7">
        <v>169</v>
      </c>
      <c r="J80" s="85">
        <v>15</v>
      </c>
      <c r="K80" s="8">
        <v>890</v>
      </c>
      <c r="L80" t="s">
        <v>1011</v>
      </c>
    </row>
    <row r="81" spans="1:16" x14ac:dyDescent="0.3">
      <c r="A81">
        <v>0.13</v>
      </c>
      <c r="B81" t="s">
        <v>962</v>
      </c>
      <c r="C81" s="6" t="s">
        <v>733</v>
      </c>
      <c r="D81" s="226">
        <f>0.8*12.84</f>
        <v>10.272</v>
      </c>
      <c r="E81" s="85" t="s">
        <v>77</v>
      </c>
      <c r="F81" s="6">
        <f>645*0.016</f>
        <v>10.32</v>
      </c>
      <c r="G81" s="7">
        <v>171</v>
      </c>
      <c r="H81" s="7">
        <v>2.8</v>
      </c>
      <c r="I81" s="7">
        <v>81</v>
      </c>
      <c r="J81" s="7">
        <v>28</v>
      </c>
      <c r="K81" s="8">
        <v>221</v>
      </c>
      <c r="L81" t="s">
        <v>965</v>
      </c>
    </row>
    <row r="82" spans="1:16" x14ac:dyDescent="0.3">
      <c r="A82">
        <v>0.13</v>
      </c>
      <c r="B82" t="s">
        <v>962</v>
      </c>
      <c r="C82" s="6" t="s">
        <v>734</v>
      </c>
      <c r="D82" s="225" t="s">
        <v>745</v>
      </c>
      <c r="E82" s="85" t="s">
        <v>77</v>
      </c>
      <c r="F82" s="6">
        <v>10.1</v>
      </c>
      <c r="G82" s="85">
        <v>140</v>
      </c>
      <c r="H82" s="85">
        <v>2.9</v>
      </c>
      <c r="I82" s="85">
        <v>79</v>
      </c>
      <c r="J82" s="85">
        <v>25</v>
      </c>
      <c r="K82" s="8">
        <v>300</v>
      </c>
      <c r="L82" t="s">
        <v>746</v>
      </c>
    </row>
    <row r="83" spans="1:16" x14ac:dyDescent="0.3">
      <c r="A83">
        <v>0.13</v>
      </c>
      <c r="B83" t="s">
        <v>962</v>
      </c>
      <c r="C83" s="6" t="s">
        <v>64</v>
      </c>
      <c r="D83" s="226">
        <f>0.2*12.84</f>
        <v>2.5680000000000001</v>
      </c>
      <c r="E83" s="85" t="s">
        <v>77</v>
      </c>
      <c r="F83" s="6">
        <v>9.5299999999999994</v>
      </c>
      <c r="G83" s="85">
        <v>118</v>
      </c>
      <c r="H83" s="85">
        <v>2.5</v>
      </c>
      <c r="I83" s="85">
        <v>72</v>
      </c>
      <c r="J83" s="85">
        <v>14</v>
      </c>
      <c r="K83" s="8">
        <v>321</v>
      </c>
    </row>
    <row r="84" spans="1:16" x14ac:dyDescent="0.3">
      <c r="A84">
        <v>0.13</v>
      </c>
      <c r="B84" t="s">
        <v>962</v>
      </c>
      <c r="C84" s="6" t="s">
        <v>37</v>
      </c>
      <c r="D84" s="225">
        <v>0</v>
      </c>
      <c r="E84" s="85" t="s">
        <v>77</v>
      </c>
      <c r="F84" s="6"/>
      <c r="G84" s="7"/>
      <c r="H84" s="85">
        <v>5</v>
      </c>
      <c r="I84" s="7"/>
      <c r="J84" s="7"/>
      <c r="K84" s="8"/>
    </row>
    <row r="85" spans="1:16" x14ac:dyDescent="0.3">
      <c r="A85">
        <v>0.13</v>
      </c>
      <c r="B85" t="s">
        <v>962</v>
      </c>
      <c r="C85" s="9" t="s">
        <v>38</v>
      </c>
      <c r="D85" s="90">
        <v>30.8</v>
      </c>
      <c r="E85" s="85" t="s">
        <v>0</v>
      </c>
      <c r="F85" s="6"/>
      <c r="G85" s="7"/>
      <c r="H85" s="7"/>
      <c r="I85" s="7"/>
      <c r="J85" s="7"/>
      <c r="K85" s="8"/>
    </row>
    <row r="86" spans="1:16" x14ac:dyDescent="0.3">
      <c r="A86">
        <v>0.2</v>
      </c>
      <c r="B86" t="s">
        <v>741</v>
      </c>
      <c r="C86" s="4" t="s">
        <v>737</v>
      </c>
      <c r="D86" s="240">
        <v>6.4</v>
      </c>
      <c r="E86" s="85" t="s">
        <v>77</v>
      </c>
      <c r="F86" s="4">
        <v>12.76</v>
      </c>
      <c r="G86" s="67">
        <v>121</v>
      </c>
      <c r="H86" s="67">
        <v>3.6</v>
      </c>
      <c r="I86" s="67">
        <v>94</v>
      </c>
      <c r="J86" s="67">
        <v>5</v>
      </c>
      <c r="K86" s="5">
        <v>860</v>
      </c>
    </row>
    <row r="87" spans="1:16" x14ac:dyDescent="0.3">
      <c r="A87">
        <v>0.2</v>
      </c>
      <c r="B87" t="s">
        <v>741</v>
      </c>
      <c r="C87" s="6" t="s">
        <v>738</v>
      </c>
      <c r="D87" s="225">
        <v>2.6</v>
      </c>
      <c r="E87" s="85" t="s">
        <v>77</v>
      </c>
      <c r="F87" s="6">
        <v>11.41</v>
      </c>
      <c r="G87" s="7">
        <v>379</v>
      </c>
      <c r="H87" s="7">
        <v>13.2</v>
      </c>
      <c r="I87" s="7">
        <v>169</v>
      </c>
      <c r="J87" s="7">
        <v>15</v>
      </c>
      <c r="K87" s="8">
        <v>890</v>
      </c>
    </row>
    <row r="88" spans="1:16" x14ac:dyDescent="0.3">
      <c r="A88">
        <v>0.2</v>
      </c>
      <c r="B88" t="s">
        <v>741</v>
      </c>
      <c r="C88" s="6" t="s">
        <v>733</v>
      </c>
      <c r="D88" s="225">
        <v>10.4</v>
      </c>
      <c r="E88" s="85" t="s">
        <v>77</v>
      </c>
      <c r="F88" s="6">
        <v>10.96</v>
      </c>
      <c r="G88" s="7">
        <v>148</v>
      </c>
      <c r="H88" s="7">
        <v>2.9</v>
      </c>
      <c r="I88" s="7">
        <v>82</v>
      </c>
      <c r="J88" s="7">
        <v>28</v>
      </c>
      <c r="K88" s="8">
        <v>270</v>
      </c>
      <c r="L88" t="s">
        <v>735</v>
      </c>
    </row>
    <row r="89" spans="1:16" x14ac:dyDescent="0.3">
      <c r="A89">
        <v>0.2</v>
      </c>
      <c r="B89" t="s">
        <v>741</v>
      </c>
      <c r="C89" s="6" t="s">
        <v>734</v>
      </c>
      <c r="D89" s="225">
        <v>0</v>
      </c>
      <c r="E89" s="85" t="s">
        <v>77</v>
      </c>
      <c r="F89" s="6"/>
      <c r="G89" s="7"/>
      <c r="H89" s="7"/>
      <c r="I89" s="7"/>
      <c r="J89" s="7"/>
      <c r="K89" s="8"/>
      <c r="L89" t="s">
        <v>736</v>
      </c>
    </row>
    <row r="90" spans="1:16" x14ac:dyDescent="0.3">
      <c r="A90">
        <v>0.2</v>
      </c>
      <c r="B90" t="s">
        <v>741</v>
      </c>
      <c r="C90" s="6" t="s">
        <v>64</v>
      </c>
      <c r="D90" s="225">
        <v>0</v>
      </c>
      <c r="E90" s="85" t="s">
        <v>77</v>
      </c>
      <c r="F90" s="6">
        <v>10.24</v>
      </c>
      <c r="G90" s="7">
        <v>100</v>
      </c>
      <c r="H90" s="7">
        <v>2.5</v>
      </c>
      <c r="I90" s="7">
        <v>76</v>
      </c>
      <c r="J90" s="7">
        <v>14</v>
      </c>
      <c r="K90" s="8">
        <v>350</v>
      </c>
      <c r="L90" t="s">
        <v>739</v>
      </c>
    </row>
    <row r="91" spans="1:16" x14ac:dyDescent="0.3">
      <c r="A91">
        <v>0.2</v>
      </c>
      <c r="B91" t="s">
        <v>741</v>
      </c>
      <c r="C91" s="6" t="s">
        <v>37</v>
      </c>
      <c r="D91" s="225">
        <v>0.2</v>
      </c>
      <c r="E91" s="85" t="s">
        <v>77</v>
      </c>
      <c r="F91" s="6">
        <v>0</v>
      </c>
      <c r="G91" s="7">
        <v>0</v>
      </c>
      <c r="H91" s="7">
        <v>5</v>
      </c>
      <c r="I91" s="7">
        <v>0</v>
      </c>
      <c r="J91" s="7">
        <v>0</v>
      </c>
      <c r="K91" s="8">
        <v>985</v>
      </c>
    </row>
    <row r="92" spans="1:16" x14ac:dyDescent="0.3">
      <c r="A92">
        <v>0.2</v>
      </c>
      <c r="B92" t="s">
        <v>741</v>
      </c>
      <c r="C92" s="9" t="s">
        <v>38</v>
      </c>
      <c r="D92" s="90">
        <v>28.4</v>
      </c>
      <c r="E92" s="85" t="s">
        <v>0</v>
      </c>
      <c r="F92" s="9"/>
      <c r="G92" s="15"/>
      <c r="H92" s="15"/>
      <c r="I92" s="15"/>
      <c r="J92" s="15"/>
      <c r="K92" s="11"/>
    </row>
    <row r="93" spans="1:16" ht="14.4" customHeight="1" x14ac:dyDescent="0.3">
      <c r="A93">
        <v>1</v>
      </c>
      <c r="B93" t="s">
        <v>303</v>
      </c>
      <c r="C93" s="4" t="s">
        <v>737</v>
      </c>
      <c r="D93" s="5">
        <v>10</v>
      </c>
      <c r="E93" s="85" t="s">
        <v>77</v>
      </c>
      <c r="F93" s="4">
        <v>12.76</v>
      </c>
      <c r="G93" s="67">
        <v>121</v>
      </c>
      <c r="H93" s="67">
        <v>3.6</v>
      </c>
      <c r="I93" s="67">
        <v>94</v>
      </c>
      <c r="J93" s="67">
        <f>J51</f>
        <v>5</v>
      </c>
      <c r="K93" s="5">
        <v>860</v>
      </c>
      <c r="O93">
        <v>2.8</v>
      </c>
      <c r="P93" t="s">
        <v>7</v>
      </c>
    </row>
    <row r="94" spans="1:16" ht="14.4" customHeight="1" x14ac:dyDescent="0.3">
      <c r="A94">
        <v>1</v>
      </c>
      <c r="B94" t="s">
        <v>303</v>
      </c>
      <c r="C94" s="6" t="s">
        <v>738</v>
      </c>
      <c r="D94" s="8">
        <v>0</v>
      </c>
      <c r="E94" s="85" t="s">
        <v>77</v>
      </c>
      <c r="F94" s="6">
        <v>11.41</v>
      </c>
      <c r="G94" s="7">
        <v>379</v>
      </c>
      <c r="H94" s="85">
        <v>13.2</v>
      </c>
      <c r="I94" s="7">
        <v>169</v>
      </c>
      <c r="J94" s="7">
        <f>J52</f>
        <v>15</v>
      </c>
      <c r="K94" s="8">
        <v>890</v>
      </c>
      <c r="O94">
        <v>2125</v>
      </c>
      <c r="P94" t="s">
        <v>313</v>
      </c>
    </row>
    <row r="95" spans="1:16" ht="14.4" customHeight="1" x14ac:dyDescent="0.3">
      <c r="A95">
        <v>1</v>
      </c>
      <c r="B95" t="s">
        <v>303</v>
      </c>
      <c r="C95" s="6" t="s">
        <v>733</v>
      </c>
      <c r="D95" s="8">
        <v>11.05</v>
      </c>
      <c r="E95" s="85" t="s">
        <v>77</v>
      </c>
      <c r="F95" s="6">
        <v>10.96</v>
      </c>
      <c r="G95" s="7">
        <v>148</v>
      </c>
      <c r="H95" s="85">
        <v>2.9</v>
      </c>
      <c r="I95" s="7">
        <v>82</v>
      </c>
      <c r="J95" s="7">
        <f>J53</f>
        <v>28</v>
      </c>
      <c r="K95" s="8">
        <v>270</v>
      </c>
      <c r="O95">
        <f>O94*O93</f>
        <v>5950</v>
      </c>
    </row>
    <row r="96" spans="1:16" ht="14.4" customHeight="1" x14ac:dyDescent="0.3">
      <c r="A96">
        <v>1</v>
      </c>
      <c r="B96" t="s">
        <v>303</v>
      </c>
      <c r="C96" s="6" t="s">
        <v>734</v>
      </c>
      <c r="D96" s="8"/>
      <c r="E96" s="85"/>
      <c r="F96" s="6">
        <v>10.1</v>
      </c>
      <c r="G96" s="85">
        <v>140</v>
      </c>
      <c r="H96" s="85">
        <v>2.9</v>
      </c>
      <c r="I96" s="85">
        <v>79</v>
      </c>
      <c r="J96" s="85">
        <v>25</v>
      </c>
      <c r="K96" s="8">
        <v>300</v>
      </c>
      <c r="L96" t="s">
        <v>746</v>
      </c>
    </row>
    <row r="97" spans="1:12" ht="14.4" customHeight="1" x14ac:dyDescent="0.3">
      <c r="A97">
        <v>1</v>
      </c>
      <c r="B97" t="s">
        <v>303</v>
      </c>
      <c r="C97" s="6" t="s">
        <v>64</v>
      </c>
      <c r="D97" s="8">
        <v>0</v>
      </c>
      <c r="E97" s="85" t="s">
        <v>77</v>
      </c>
      <c r="F97" s="6"/>
      <c r="G97" s="7"/>
      <c r="H97" s="7"/>
      <c r="I97" s="7"/>
      <c r="J97" s="7"/>
      <c r="K97" s="8"/>
    </row>
    <row r="98" spans="1:12" ht="14.4" customHeight="1" x14ac:dyDescent="0.3">
      <c r="A98">
        <v>1</v>
      </c>
      <c r="B98" t="s">
        <v>303</v>
      </c>
      <c r="C98" s="6" t="s">
        <v>37</v>
      </c>
      <c r="D98" s="8">
        <v>0.2</v>
      </c>
      <c r="E98" s="85" t="s">
        <v>77</v>
      </c>
      <c r="F98" s="9">
        <v>0</v>
      </c>
      <c r="G98" s="15">
        <v>0</v>
      </c>
      <c r="H98" s="15">
        <v>5</v>
      </c>
      <c r="I98" s="15">
        <v>0</v>
      </c>
      <c r="J98" s="15">
        <v>0</v>
      </c>
      <c r="K98" s="11">
        <v>985</v>
      </c>
    </row>
    <row r="99" spans="1:12" ht="14.4" customHeight="1" x14ac:dyDescent="0.3">
      <c r="A99">
        <v>1</v>
      </c>
      <c r="B99" t="s">
        <v>303</v>
      </c>
      <c r="C99" s="9" t="s">
        <v>38</v>
      </c>
      <c r="D99" s="90">
        <v>29.8</v>
      </c>
      <c r="E99" s="85" t="s">
        <v>0</v>
      </c>
      <c r="L99" t="s">
        <v>686</v>
      </c>
    </row>
    <row r="100" spans="1:12" ht="14.4" customHeight="1" x14ac:dyDescent="0.3">
      <c r="A100">
        <v>2</v>
      </c>
      <c r="B100" t="s">
        <v>304</v>
      </c>
      <c r="C100" s="4" t="s">
        <v>737</v>
      </c>
      <c r="D100" s="8">
        <v>8.4</v>
      </c>
      <c r="E100" s="85" t="s">
        <v>77</v>
      </c>
      <c r="F100" s="4">
        <v>12.76</v>
      </c>
      <c r="G100" s="67">
        <v>121</v>
      </c>
      <c r="H100" s="67">
        <v>3.6</v>
      </c>
      <c r="I100" s="67">
        <v>94</v>
      </c>
      <c r="J100" s="67">
        <v>5</v>
      </c>
      <c r="K100" s="5">
        <v>860</v>
      </c>
    </row>
    <row r="101" spans="1:12" ht="14.4" customHeight="1" x14ac:dyDescent="0.3">
      <c r="A101">
        <v>2</v>
      </c>
      <c r="B101" t="s">
        <v>304</v>
      </c>
      <c r="C101" s="6" t="s">
        <v>738</v>
      </c>
      <c r="D101" s="8">
        <v>2.2000000000000002</v>
      </c>
      <c r="E101" s="85" t="s">
        <v>77</v>
      </c>
      <c r="F101" s="6">
        <v>11.41</v>
      </c>
      <c r="G101" s="7">
        <v>379</v>
      </c>
      <c r="H101" s="7">
        <v>13.2</v>
      </c>
      <c r="I101" s="7">
        <v>169</v>
      </c>
      <c r="J101" s="85">
        <v>15</v>
      </c>
      <c r="K101" s="8">
        <v>890</v>
      </c>
    </row>
    <row r="102" spans="1:12" ht="14.4" customHeight="1" x14ac:dyDescent="0.3">
      <c r="A102">
        <v>2</v>
      </c>
      <c r="B102" t="s">
        <v>304</v>
      </c>
      <c r="C102" s="6" t="s">
        <v>733</v>
      </c>
      <c r="D102" s="228">
        <v>11.87</v>
      </c>
      <c r="E102" s="85" t="s">
        <v>77</v>
      </c>
      <c r="F102" s="6">
        <v>10.96</v>
      </c>
      <c r="G102" s="7">
        <v>148</v>
      </c>
      <c r="H102" s="7">
        <v>2.9</v>
      </c>
      <c r="I102" s="7">
        <v>82</v>
      </c>
      <c r="J102" s="85">
        <v>28</v>
      </c>
      <c r="K102" s="8">
        <v>270</v>
      </c>
    </row>
    <row r="103" spans="1:12" ht="14.4" customHeight="1" x14ac:dyDescent="0.3">
      <c r="C103" s="6" t="s">
        <v>734</v>
      </c>
      <c r="D103" s="228"/>
      <c r="E103" s="85"/>
      <c r="F103" s="6"/>
      <c r="G103" s="7"/>
      <c r="H103" s="7"/>
      <c r="I103" s="7"/>
      <c r="J103" s="85"/>
      <c r="K103" s="8"/>
    </row>
    <row r="104" spans="1:12" ht="14.4" customHeight="1" x14ac:dyDescent="0.3">
      <c r="A104">
        <v>2</v>
      </c>
      <c r="B104" t="s">
        <v>304</v>
      </c>
      <c r="C104" s="6" t="s">
        <v>64</v>
      </c>
      <c r="D104" s="8">
        <v>0</v>
      </c>
      <c r="E104" s="85" t="s">
        <v>77</v>
      </c>
      <c r="F104" s="6"/>
      <c r="G104" s="7"/>
      <c r="H104" s="7"/>
      <c r="I104" s="7"/>
      <c r="J104" s="7"/>
      <c r="K104" s="8"/>
    </row>
    <row r="105" spans="1:12" ht="14.4" customHeight="1" x14ac:dyDescent="0.3">
      <c r="A105">
        <v>2</v>
      </c>
      <c r="B105" t="s">
        <v>304</v>
      </c>
      <c r="C105" s="6" t="s">
        <v>37</v>
      </c>
      <c r="D105" s="8">
        <v>0.2</v>
      </c>
      <c r="E105" s="85" t="s">
        <v>77</v>
      </c>
      <c r="F105" s="9">
        <v>0</v>
      </c>
      <c r="G105" s="15">
        <v>0</v>
      </c>
      <c r="H105" s="15">
        <v>5</v>
      </c>
      <c r="I105" s="15">
        <v>0</v>
      </c>
      <c r="J105" s="15">
        <v>0</v>
      </c>
      <c r="K105" s="11">
        <v>985</v>
      </c>
    </row>
    <row r="106" spans="1:12" ht="14.4" customHeight="1" x14ac:dyDescent="0.3">
      <c r="A106">
        <v>2</v>
      </c>
      <c r="B106" t="s">
        <v>304</v>
      </c>
      <c r="C106" s="9" t="s">
        <v>38</v>
      </c>
      <c r="D106" s="90">
        <v>32.6</v>
      </c>
      <c r="E106" s="85" t="s">
        <v>0</v>
      </c>
      <c r="L106" t="s">
        <v>300</v>
      </c>
    </row>
    <row r="107" spans="1:12" ht="14.4" customHeight="1" x14ac:dyDescent="0.3">
      <c r="A107">
        <v>3</v>
      </c>
      <c r="B107" t="s">
        <v>360</v>
      </c>
      <c r="C107" s="4" t="s">
        <v>737</v>
      </c>
      <c r="D107" s="5">
        <v>6</v>
      </c>
      <c r="E107" s="85" t="s">
        <v>77</v>
      </c>
      <c r="F107" s="4">
        <v>12.76</v>
      </c>
      <c r="G107" s="67">
        <v>121</v>
      </c>
      <c r="H107" s="67">
        <v>3.6</v>
      </c>
      <c r="I107" s="67">
        <v>94</v>
      </c>
      <c r="J107" s="67">
        <v>5</v>
      </c>
      <c r="K107" s="5">
        <v>860</v>
      </c>
    </row>
    <row r="108" spans="1:12" ht="14.4" customHeight="1" x14ac:dyDescent="0.3">
      <c r="A108">
        <v>3</v>
      </c>
      <c r="B108" t="s">
        <v>360</v>
      </c>
      <c r="C108" s="6" t="s">
        <v>738</v>
      </c>
      <c r="D108" s="8">
        <v>4</v>
      </c>
      <c r="E108" s="85" t="s">
        <v>77</v>
      </c>
      <c r="F108" s="6">
        <v>11.41</v>
      </c>
      <c r="G108" s="7">
        <v>379</v>
      </c>
      <c r="H108" s="85">
        <v>13.2</v>
      </c>
      <c r="I108" s="7">
        <v>169</v>
      </c>
      <c r="J108" s="85">
        <v>15</v>
      </c>
      <c r="K108" s="8">
        <v>890</v>
      </c>
    </row>
    <row r="109" spans="1:12" ht="14.4" customHeight="1" x14ac:dyDescent="0.3">
      <c r="A109">
        <v>3</v>
      </c>
      <c r="B109" t="s">
        <v>360</v>
      </c>
      <c r="C109" s="6" t="s">
        <v>733</v>
      </c>
      <c r="D109" s="8">
        <v>12.2</v>
      </c>
      <c r="E109" s="85" t="s">
        <v>77</v>
      </c>
      <c r="F109" s="6">
        <v>10.96</v>
      </c>
      <c r="G109" s="7">
        <v>148</v>
      </c>
      <c r="H109" s="85">
        <v>2.9</v>
      </c>
      <c r="I109" s="7">
        <v>82</v>
      </c>
      <c r="J109" s="85">
        <v>28</v>
      </c>
      <c r="K109" s="8">
        <v>270</v>
      </c>
    </row>
    <row r="110" spans="1:12" ht="14.4" customHeight="1" x14ac:dyDescent="0.3">
      <c r="C110" s="6" t="s">
        <v>734</v>
      </c>
      <c r="D110" s="8"/>
      <c r="E110" s="85"/>
      <c r="F110" s="6">
        <v>10.1</v>
      </c>
      <c r="G110" s="85">
        <v>140</v>
      </c>
      <c r="H110" s="85">
        <v>2.9</v>
      </c>
      <c r="I110" s="85">
        <v>79</v>
      </c>
      <c r="J110" s="85">
        <v>25</v>
      </c>
      <c r="K110" s="8">
        <v>300</v>
      </c>
      <c r="L110" t="s">
        <v>746</v>
      </c>
    </row>
    <row r="111" spans="1:12" ht="14.4" customHeight="1" x14ac:dyDescent="0.3">
      <c r="A111">
        <v>3</v>
      </c>
      <c r="B111" t="s">
        <v>360</v>
      </c>
      <c r="C111" s="6" t="s">
        <v>64</v>
      </c>
      <c r="D111" s="8">
        <v>0</v>
      </c>
      <c r="E111" s="85" t="s">
        <v>77</v>
      </c>
      <c r="F111" s="6"/>
      <c r="G111" s="7"/>
      <c r="H111" s="7"/>
      <c r="I111" s="7"/>
      <c r="J111" s="7"/>
      <c r="K111" s="8"/>
    </row>
    <row r="112" spans="1:12" ht="14.4" customHeight="1" x14ac:dyDescent="0.3">
      <c r="A112">
        <v>3</v>
      </c>
      <c r="B112" t="s">
        <v>360</v>
      </c>
      <c r="C112" s="6" t="s">
        <v>37</v>
      </c>
      <c r="D112" s="8">
        <v>0.2</v>
      </c>
      <c r="E112" s="85" t="s">
        <v>77</v>
      </c>
      <c r="F112" s="9">
        <v>0</v>
      </c>
      <c r="G112" s="15">
        <v>0</v>
      </c>
      <c r="H112" s="15">
        <v>5</v>
      </c>
      <c r="I112" s="15">
        <v>0</v>
      </c>
      <c r="J112" s="15">
        <v>0</v>
      </c>
      <c r="K112" s="11">
        <v>985</v>
      </c>
    </row>
    <row r="113" spans="1:15" ht="14.4" customHeight="1" x14ac:dyDescent="0.3">
      <c r="A113">
        <v>3</v>
      </c>
      <c r="B113" t="s">
        <v>360</v>
      </c>
      <c r="C113" s="9" t="s">
        <v>38</v>
      </c>
      <c r="D113" s="90">
        <v>33.36</v>
      </c>
      <c r="E113" s="85" t="s">
        <v>0</v>
      </c>
      <c r="L113" t="s">
        <v>300</v>
      </c>
      <c r="O113">
        <f>D113-D99</f>
        <v>3.5599999999999987</v>
      </c>
    </row>
    <row r="114" spans="1:15" ht="14.4" customHeight="1" x14ac:dyDescent="0.3">
      <c r="A114">
        <v>4</v>
      </c>
      <c r="B114" t="s">
        <v>305</v>
      </c>
      <c r="C114" s="4" t="s">
        <v>737</v>
      </c>
      <c r="D114" s="5">
        <v>10</v>
      </c>
      <c r="E114" s="85" t="s">
        <v>77</v>
      </c>
      <c r="F114" s="4">
        <v>12.76</v>
      </c>
      <c r="G114" s="67">
        <v>121</v>
      </c>
      <c r="H114" s="67">
        <v>3.6</v>
      </c>
      <c r="I114" s="67">
        <v>94</v>
      </c>
      <c r="J114" s="67">
        <f>J51</f>
        <v>5</v>
      </c>
      <c r="K114" s="5">
        <v>860</v>
      </c>
    </row>
    <row r="115" spans="1:15" ht="14.4" customHeight="1" x14ac:dyDescent="0.3">
      <c r="A115">
        <v>4</v>
      </c>
      <c r="B115" t="s">
        <v>305</v>
      </c>
      <c r="C115" s="6" t="s">
        <v>738</v>
      </c>
      <c r="D115" s="8">
        <v>0</v>
      </c>
      <c r="E115" s="85" t="s">
        <v>77</v>
      </c>
      <c r="F115" s="6">
        <v>11.41</v>
      </c>
      <c r="G115" s="7">
        <v>379</v>
      </c>
      <c r="H115" s="7">
        <v>13.2</v>
      </c>
      <c r="I115" s="7">
        <v>169</v>
      </c>
      <c r="J115" s="7">
        <f>J52</f>
        <v>15</v>
      </c>
      <c r="K115" s="8">
        <v>890</v>
      </c>
    </row>
    <row r="116" spans="1:15" ht="14.4" customHeight="1" x14ac:dyDescent="0.3">
      <c r="A116">
        <v>4</v>
      </c>
      <c r="B116" t="s">
        <v>305</v>
      </c>
      <c r="C116" s="6" t="s">
        <v>733</v>
      </c>
      <c r="D116" s="8">
        <v>11.1</v>
      </c>
      <c r="E116" s="85" t="s">
        <v>77</v>
      </c>
      <c r="F116" s="6">
        <v>10.94</v>
      </c>
      <c r="G116" s="7">
        <v>130</v>
      </c>
      <c r="H116" s="7">
        <v>2.9</v>
      </c>
      <c r="I116" s="7">
        <v>80</v>
      </c>
      <c r="J116" s="7">
        <f>J53</f>
        <v>28</v>
      </c>
      <c r="K116" s="8">
        <v>270</v>
      </c>
    </row>
    <row r="117" spans="1:15" ht="14.4" customHeight="1" x14ac:dyDescent="0.3">
      <c r="C117" s="6" t="s">
        <v>734</v>
      </c>
      <c r="D117" s="8"/>
      <c r="E117" s="85"/>
      <c r="F117" s="6"/>
      <c r="G117" s="7"/>
      <c r="H117" s="7"/>
      <c r="I117" s="7"/>
      <c r="J117" s="7"/>
      <c r="K117" s="8"/>
    </row>
    <row r="118" spans="1:15" ht="14.4" customHeight="1" x14ac:dyDescent="0.3">
      <c r="A118">
        <v>4</v>
      </c>
      <c r="B118" t="s">
        <v>305</v>
      </c>
      <c r="C118" s="6" t="s">
        <v>64</v>
      </c>
      <c r="D118" s="8">
        <v>0</v>
      </c>
      <c r="E118" s="85" t="s">
        <v>77</v>
      </c>
      <c r="F118" s="6"/>
      <c r="G118" s="7"/>
      <c r="H118" s="7"/>
      <c r="I118" s="7"/>
      <c r="J118" s="7"/>
      <c r="K118" s="8"/>
    </row>
    <row r="119" spans="1:15" ht="14.4" customHeight="1" x14ac:dyDescent="0.3">
      <c r="A119">
        <v>4</v>
      </c>
      <c r="B119" t="s">
        <v>305</v>
      </c>
      <c r="C119" s="6" t="s">
        <v>37</v>
      </c>
      <c r="D119" s="8">
        <v>0.2</v>
      </c>
      <c r="E119" s="85" t="s">
        <v>77</v>
      </c>
      <c r="F119" s="9">
        <v>0</v>
      </c>
      <c r="G119" s="15">
        <v>0</v>
      </c>
      <c r="H119" s="15">
        <v>5</v>
      </c>
      <c r="I119" s="15">
        <v>0</v>
      </c>
      <c r="J119" s="15">
        <f t="shared" ref="J119" si="0">J56</f>
        <v>0</v>
      </c>
      <c r="K119" s="11">
        <v>985</v>
      </c>
    </row>
    <row r="120" spans="1:15" ht="14.4" customHeight="1" x14ac:dyDescent="0.3">
      <c r="A120">
        <v>4</v>
      </c>
      <c r="B120" t="s">
        <v>305</v>
      </c>
      <c r="C120" s="9" t="s">
        <v>38</v>
      </c>
      <c r="D120" s="90">
        <v>29.7</v>
      </c>
      <c r="E120" s="85" t="s">
        <v>0</v>
      </c>
      <c r="L120" t="s">
        <v>686</v>
      </c>
    </row>
    <row r="121" spans="1:15" ht="14.4" customHeight="1" x14ac:dyDescent="0.3">
      <c r="A121">
        <v>5</v>
      </c>
      <c r="B121" t="s">
        <v>306</v>
      </c>
      <c r="C121" s="4" t="s">
        <v>737</v>
      </c>
      <c r="D121" s="5">
        <v>8</v>
      </c>
      <c r="E121" s="85" t="s">
        <v>77</v>
      </c>
      <c r="F121" s="4">
        <v>12.76</v>
      </c>
      <c r="G121" s="67">
        <v>121</v>
      </c>
      <c r="H121" s="67">
        <v>3.6</v>
      </c>
      <c r="I121" s="67">
        <v>94</v>
      </c>
      <c r="J121" s="67">
        <v>5</v>
      </c>
      <c r="K121" s="5">
        <v>860</v>
      </c>
    </row>
    <row r="122" spans="1:15" ht="14.4" customHeight="1" x14ac:dyDescent="0.3">
      <c r="A122">
        <v>5</v>
      </c>
      <c r="B122" t="s">
        <v>306</v>
      </c>
      <c r="C122" s="6" t="s">
        <v>738</v>
      </c>
      <c r="D122" s="8">
        <v>2</v>
      </c>
      <c r="E122" s="85" t="s">
        <v>77</v>
      </c>
      <c r="F122" s="6">
        <v>11.41</v>
      </c>
      <c r="G122" s="7">
        <v>379</v>
      </c>
      <c r="H122" s="7">
        <v>13.2</v>
      </c>
      <c r="I122" s="7">
        <v>169</v>
      </c>
      <c r="J122" s="7">
        <v>15</v>
      </c>
      <c r="K122" s="8">
        <v>890</v>
      </c>
    </row>
    <row r="123" spans="1:15" ht="14.4" customHeight="1" x14ac:dyDescent="0.3">
      <c r="A123">
        <v>5</v>
      </c>
      <c r="B123" t="s">
        <v>306</v>
      </c>
      <c r="C123" s="6" t="s">
        <v>733</v>
      </c>
      <c r="D123" s="8">
        <v>11.7</v>
      </c>
      <c r="E123" s="85" t="s">
        <v>77</v>
      </c>
      <c r="F123" s="6">
        <v>10.94</v>
      </c>
      <c r="G123" s="7">
        <v>130</v>
      </c>
      <c r="H123" s="7">
        <v>2.9</v>
      </c>
      <c r="I123" s="7">
        <v>80</v>
      </c>
      <c r="J123" s="7">
        <v>28</v>
      </c>
      <c r="K123" s="8">
        <v>270</v>
      </c>
    </row>
    <row r="124" spans="1:15" ht="14.4" customHeight="1" x14ac:dyDescent="0.3">
      <c r="C124" s="6" t="s">
        <v>734</v>
      </c>
      <c r="D124" s="8"/>
      <c r="E124" s="85"/>
      <c r="F124" s="6"/>
      <c r="G124" s="7"/>
      <c r="H124" s="7"/>
      <c r="I124" s="7"/>
      <c r="J124" s="7"/>
      <c r="K124" s="8"/>
    </row>
    <row r="125" spans="1:15" ht="14.4" customHeight="1" x14ac:dyDescent="0.3">
      <c r="A125">
        <v>5</v>
      </c>
      <c r="B125" t="s">
        <v>306</v>
      </c>
      <c r="C125" s="6" t="s">
        <v>64</v>
      </c>
      <c r="D125" s="8">
        <v>0</v>
      </c>
      <c r="E125" s="85" t="s">
        <v>77</v>
      </c>
      <c r="F125" s="6"/>
      <c r="G125" s="7"/>
      <c r="H125" s="7"/>
      <c r="I125" s="7"/>
      <c r="J125" s="7"/>
      <c r="K125" s="8"/>
    </row>
    <row r="126" spans="1:15" ht="14.4" customHeight="1" x14ac:dyDescent="0.3">
      <c r="A126">
        <v>5</v>
      </c>
      <c r="B126" t="s">
        <v>306</v>
      </c>
      <c r="C126" s="6" t="s">
        <v>37</v>
      </c>
      <c r="D126" s="8">
        <v>0.2</v>
      </c>
      <c r="E126" s="85" t="s">
        <v>77</v>
      </c>
      <c r="F126" s="9">
        <v>0</v>
      </c>
      <c r="G126" s="15">
        <v>0</v>
      </c>
      <c r="H126" s="15">
        <v>5</v>
      </c>
      <c r="I126" s="15">
        <v>0</v>
      </c>
      <c r="J126" s="15">
        <v>0</v>
      </c>
      <c r="K126" s="11">
        <v>985</v>
      </c>
    </row>
    <row r="127" spans="1:15" ht="14.4" customHeight="1" x14ac:dyDescent="0.3">
      <c r="A127">
        <v>5</v>
      </c>
      <c r="B127" t="s">
        <v>306</v>
      </c>
      <c r="C127" s="9" t="s">
        <v>38</v>
      </c>
      <c r="D127" s="90">
        <v>31.9</v>
      </c>
      <c r="E127" s="85" t="s">
        <v>0</v>
      </c>
      <c r="L127" t="s">
        <v>300</v>
      </c>
    </row>
    <row r="128" spans="1:15" x14ac:dyDescent="0.3">
      <c r="A128">
        <v>6</v>
      </c>
      <c r="B128" t="s">
        <v>359</v>
      </c>
      <c r="C128" s="4" t="s">
        <v>737</v>
      </c>
      <c r="D128" s="5">
        <v>6</v>
      </c>
      <c r="E128" s="85" t="s">
        <v>77</v>
      </c>
      <c r="F128" s="4">
        <v>12.76</v>
      </c>
      <c r="G128" s="67">
        <v>121</v>
      </c>
      <c r="H128" s="67">
        <v>3.6</v>
      </c>
      <c r="I128" s="67">
        <v>94</v>
      </c>
      <c r="J128" s="67">
        <v>5</v>
      </c>
      <c r="K128" s="5">
        <v>860</v>
      </c>
    </row>
    <row r="129" spans="1:15" x14ac:dyDescent="0.3">
      <c r="A129">
        <v>6</v>
      </c>
      <c r="B129" t="s">
        <v>359</v>
      </c>
      <c r="C129" s="6" t="s">
        <v>738</v>
      </c>
      <c r="D129" s="8">
        <v>4</v>
      </c>
      <c r="E129" s="85" t="s">
        <v>77</v>
      </c>
      <c r="F129" s="6">
        <v>11.41</v>
      </c>
      <c r="G129" s="7">
        <v>379</v>
      </c>
      <c r="H129" s="7">
        <v>13.2</v>
      </c>
      <c r="I129" s="7">
        <v>169</v>
      </c>
      <c r="J129" s="7">
        <v>15</v>
      </c>
      <c r="K129" s="8">
        <v>890</v>
      </c>
    </row>
    <row r="130" spans="1:15" x14ac:dyDescent="0.3">
      <c r="A130">
        <v>6</v>
      </c>
      <c r="B130" t="s">
        <v>359</v>
      </c>
      <c r="C130" s="6" t="s">
        <v>733</v>
      </c>
      <c r="D130" s="8">
        <v>12.1</v>
      </c>
      <c r="E130" s="85" t="s">
        <v>77</v>
      </c>
      <c r="F130" s="6">
        <v>10.94</v>
      </c>
      <c r="G130" s="7">
        <v>130</v>
      </c>
      <c r="H130" s="7">
        <v>2.9</v>
      </c>
      <c r="I130" s="7">
        <v>80</v>
      </c>
      <c r="J130" s="7">
        <v>28</v>
      </c>
      <c r="K130" s="8">
        <v>270</v>
      </c>
    </row>
    <row r="131" spans="1:15" x14ac:dyDescent="0.3">
      <c r="C131" s="6" t="s">
        <v>734</v>
      </c>
      <c r="D131" s="8"/>
      <c r="E131" s="85"/>
      <c r="F131" s="6"/>
      <c r="G131" s="7"/>
      <c r="H131" s="7"/>
      <c r="I131" s="7"/>
      <c r="J131" s="7"/>
      <c r="K131" s="8"/>
    </row>
    <row r="132" spans="1:15" x14ac:dyDescent="0.3">
      <c r="A132">
        <v>6</v>
      </c>
      <c r="B132" t="s">
        <v>359</v>
      </c>
      <c r="C132" s="6" t="s">
        <v>64</v>
      </c>
      <c r="D132" s="8">
        <v>0</v>
      </c>
      <c r="E132" s="85" t="s">
        <v>77</v>
      </c>
      <c r="F132" s="6"/>
      <c r="G132" s="7"/>
      <c r="H132" s="7"/>
      <c r="I132" s="7"/>
      <c r="J132" s="7"/>
      <c r="K132" s="8"/>
    </row>
    <row r="133" spans="1:15" x14ac:dyDescent="0.3">
      <c r="A133">
        <v>6</v>
      </c>
      <c r="B133" t="s">
        <v>359</v>
      </c>
      <c r="C133" s="6" t="s">
        <v>37</v>
      </c>
      <c r="D133" s="8">
        <v>0.2</v>
      </c>
      <c r="E133" s="85" t="s">
        <v>77</v>
      </c>
      <c r="F133" s="9">
        <v>0</v>
      </c>
      <c r="G133" s="15">
        <v>0</v>
      </c>
      <c r="H133" s="15">
        <v>5</v>
      </c>
      <c r="I133" s="15">
        <v>0</v>
      </c>
      <c r="J133" s="15">
        <v>0</v>
      </c>
      <c r="K133" s="11">
        <v>985</v>
      </c>
    </row>
    <row r="134" spans="1:15" x14ac:dyDescent="0.3">
      <c r="A134">
        <v>6</v>
      </c>
      <c r="B134" t="s">
        <v>359</v>
      </c>
      <c r="C134" s="9" t="s">
        <v>38</v>
      </c>
      <c r="D134" s="90">
        <v>33.200000000000003</v>
      </c>
      <c r="E134" s="85" t="s">
        <v>0</v>
      </c>
      <c r="L134" t="s">
        <v>300</v>
      </c>
      <c r="O134">
        <f>D134-D120</f>
        <v>3.5000000000000036</v>
      </c>
    </row>
    <row r="135" spans="1:15" x14ac:dyDescent="0.3">
      <c r="A135">
        <v>7</v>
      </c>
      <c r="B135" t="s">
        <v>321</v>
      </c>
      <c r="C135" s="4" t="s">
        <v>737</v>
      </c>
      <c r="D135" s="5">
        <v>10</v>
      </c>
      <c r="E135" s="85" t="s">
        <v>77</v>
      </c>
      <c r="F135" s="4">
        <v>12.76</v>
      </c>
      <c r="G135" s="67">
        <v>121</v>
      </c>
      <c r="H135" s="67">
        <v>3.6</v>
      </c>
      <c r="I135" s="67">
        <v>94</v>
      </c>
      <c r="J135" s="67">
        <v>5</v>
      </c>
      <c r="K135" s="5">
        <v>860</v>
      </c>
    </row>
    <row r="136" spans="1:15" x14ac:dyDescent="0.3">
      <c r="A136">
        <v>7</v>
      </c>
      <c r="B136" t="s">
        <v>321</v>
      </c>
      <c r="C136" s="6" t="s">
        <v>738</v>
      </c>
      <c r="D136" s="8">
        <v>0</v>
      </c>
      <c r="E136" s="85" t="s">
        <v>77</v>
      </c>
      <c r="F136" s="6">
        <v>11.41</v>
      </c>
      <c r="G136" s="7">
        <v>379</v>
      </c>
      <c r="H136" s="85">
        <v>13.2</v>
      </c>
      <c r="I136" s="7">
        <v>169</v>
      </c>
      <c r="J136" s="7">
        <v>15</v>
      </c>
      <c r="K136" s="8">
        <v>890</v>
      </c>
    </row>
    <row r="137" spans="1:15" x14ac:dyDescent="0.3">
      <c r="A137">
        <v>7</v>
      </c>
      <c r="B137" t="s">
        <v>321</v>
      </c>
      <c r="C137" s="6" t="s">
        <v>733</v>
      </c>
      <c r="D137" s="8">
        <v>11.6</v>
      </c>
      <c r="E137" s="85" t="s">
        <v>77</v>
      </c>
      <c r="F137" s="6">
        <v>10.5</v>
      </c>
      <c r="G137" s="7">
        <v>165</v>
      </c>
      <c r="H137" s="85">
        <v>2.6</v>
      </c>
      <c r="I137" s="85">
        <v>84</v>
      </c>
      <c r="J137" s="7">
        <v>28</v>
      </c>
      <c r="K137" s="8">
        <v>250</v>
      </c>
    </row>
    <row r="138" spans="1:15" x14ac:dyDescent="0.3">
      <c r="C138" s="6" t="s">
        <v>734</v>
      </c>
      <c r="D138" s="8"/>
      <c r="E138" s="85"/>
      <c r="F138" s="6"/>
      <c r="G138" s="7"/>
      <c r="H138" s="85"/>
      <c r="I138" s="85"/>
      <c r="J138" s="7"/>
      <c r="K138" s="8"/>
    </row>
    <row r="139" spans="1:15" x14ac:dyDescent="0.3">
      <c r="A139">
        <v>7</v>
      </c>
      <c r="B139" t="s">
        <v>321</v>
      </c>
      <c r="C139" s="6" t="s">
        <v>64</v>
      </c>
      <c r="D139" s="8">
        <v>0</v>
      </c>
      <c r="E139" s="85" t="s">
        <v>77</v>
      </c>
      <c r="F139" s="6"/>
      <c r="G139" s="7"/>
      <c r="H139" s="7"/>
      <c r="I139" s="7"/>
      <c r="J139" s="7"/>
      <c r="K139" s="8"/>
    </row>
    <row r="140" spans="1:15" x14ac:dyDescent="0.3">
      <c r="A140">
        <v>7</v>
      </c>
      <c r="B140" t="s">
        <v>321</v>
      </c>
      <c r="C140" s="6" t="s">
        <v>37</v>
      </c>
      <c r="D140" s="8">
        <v>0.2</v>
      </c>
      <c r="E140" s="85" t="s">
        <v>77</v>
      </c>
      <c r="F140" s="9">
        <v>0</v>
      </c>
      <c r="G140" s="15">
        <v>0</v>
      </c>
      <c r="H140" s="15">
        <v>5</v>
      </c>
      <c r="I140" s="15">
        <v>0</v>
      </c>
      <c r="J140" s="15">
        <v>0</v>
      </c>
      <c r="K140" s="11">
        <v>985</v>
      </c>
    </row>
    <row r="141" spans="1:15" x14ac:dyDescent="0.3">
      <c r="A141">
        <v>7</v>
      </c>
      <c r="B141" t="s">
        <v>321</v>
      </c>
      <c r="C141" s="9" t="s">
        <v>38</v>
      </c>
      <c r="D141" s="90">
        <v>30.8</v>
      </c>
      <c r="E141" s="85" t="s">
        <v>0</v>
      </c>
      <c r="L141" t="s">
        <v>686</v>
      </c>
    </row>
    <row r="142" spans="1:15" x14ac:dyDescent="0.3">
      <c r="A142">
        <v>8</v>
      </c>
      <c r="B142" t="s">
        <v>357</v>
      </c>
      <c r="C142" s="4" t="s">
        <v>737</v>
      </c>
      <c r="D142" s="5">
        <v>8</v>
      </c>
      <c r="E142" s="85" t="s">
        <v>77</v>
      </c>
      <c r="F142" s="4">
        <v>12.76</v>
      </c>
      <c r="G142" s="67">
        <v>121</v>
      </c>
      <c r="H142" s="67">
        <v>3.6</v>
      </c>
      <c r="I142" s="67">
        <v>94</v>
      </c>
      <c r="J142" s="67">
        <v>5</v>
      </c>
      <c r="K142" s="5">
        <v>860</v>
      </c>
    </row>
    <row r="143" spans="1:15" x14ac:dyDescent="0.3">
      <c r="A143">
        <v>8</v>
      </c>
      <c r="B143" t="s">
        <v>357</v>
      </c>
      <c r="C143" s="6" t="s">
        <v>738</v>
      </c>
      <c r="D143" s="8">
        <v>2</v>
      </c>
      <c r="E143" s="85" t="s">
        <v>77</v>
      </c>
      <c r="F143" s="6">
        <v>11.41</v>
      </c>
      <c r="G143" s="7">
        <v>379</v>
      </c>
      <c r="H143" s="7">
        <v>13.2</v>
      </c>
      <c r="I143" s="7">
        <v>169</v>
      </c>
      <c r="J143" s="7">
        <v>15</v>
      </c>
      <c r="K143" s="8">
        <v>890</v>
      </c>
    </row>
    <row r="144" spans="1:15" x14ac:dyDescent="0.3">
      <c r="A144">
        <v>8</v>
      </c>
      <c r="B144" t="s">
        <v>357</v>
      </c>
      <c r="C144" s="6" t="s">
        <v>733</v>
      </c>
      <c r="D144" s="8">
        <v>12.23</v>
      </c>
      <c r="E144" s="85" t="s">
        <v>77</v>
      </c>
      <c r="F144" s="6">
        <v>10.5</v>
      </c>
      <c r="G144" s="7">
        <v>165</v>
      </c>
      <c r="H144" s="7">
        <v>2.6</v>
      </c>
      <c r="I144" s="7">
        <v>84</v>
      </c>
      <c r="J144" s="7">
        <v>28</v>
      </c>
      <c r="K144" s="8">
        <v>250</v>
      </c>
    </row>
    <row r="145" spans="1:15" x14ac:dyDescent="0.3">
      <c r="C145" s="6" t="s">
        <v>734</v>
      </c>
      <c r="D145" s="8"/>
      <c r="E145" s="85"/>
      <c r="F145" s="6"/>
      <c r="G145" s="7"/>
      <c r="H145" s="7"/>
      <c r="I145" s="7"/>
      <c r="J145" s="7"/>
      <c r="K145" s="8"/>
    </row>
    <row r="146" spans="1:15" x14ac:dyDescent="0.3">
      <c r="A146">
        <v>8</v>
      </c>
      <c r="B146" t="s">
        <v>357</v>
      </c>
      <c r="C146" s="6" t="s">
        <v>64</v>
      </c>
      <c r="D146" s="8">
        <v>0</v>
      </c>
      <c r="E146" s="85" t="s">
        <v>77</v>
      </c>
      <c r="F146" s="6"/>
      <c r="G146" s="7"/>
      <c r="H146" s="7"/>
      <c r="I146" s="7"/>
      <c r="J146" s="7"/>
      <c r="K146" s="8"/>
    </row>
    <row r="147" spans="1:15" x14ac:dyDescent="0.3">
      <c r="A147">
        <v>8</v>
      </c>
      <c r="B147" t="s">
        <v>357</v>
      </c>
      <c r="C147" s="6" t="s">
        <v>37</v>
      </c>
      <c r="D147" s="8">
        <v>0.2</v>
      </c>
      <c r="E147" s="85" t="s">
        <v>77</v>
      </c>
      <c r="F147" s="9">
        <v>0</v>
      </c>
      <c r="G147" s="15">
        <v>0</v>
      </c>
      <c r="H147" s="15">
        <v>5</v>
      </c>
      <c r="I147" s="15">
        <v>0</v>
      </c>
      <c r="J147" s="15">
        <v>0</v>
      </c>
      <c r="K147" s="11">
        <v>985</v>
      </c>
    </row>
    <row r="148" spans="1:15" x14ac:dyDescent="0.3">
      <c r="A148">
        <v>8</v>
      </c>
      <c r="B148" t="s">
        <v>357</v>
      </c>
      <c r="C148" s="9" t="s">
        <v>38</v>
      </c>
      <c r="D148" s="90">
        <v>32.700000000000003</v>
      </c>
      <c r="E148" s="85" t="s">
        <v>0</v>
      </c>
      <c r="L148" t="s">
        <v>300</v>
      </c>
    </row>
    <row r="149" spans="1:15" x14ac:dyDescent="0.3">
      <c r="A149">
        <v>9</v>
      </c>
      <c r="B149" t="s">
        <v>358</v>
      </c>
      <c r="C149" s="4" t="s">
        <v>737</v>
      </c>
      <c r="D149" s="5">
        <v>6</v>
      </c>
      <c r="E149" s="85" t="s">
        <v>77</v>
      </c>
      <c r="F149" s="4">
        <v>12.76</v>
      </c>
      <c r="G149" s="67">
        <v>121</v>
      </c>
      <c r="H149" s="67">
        <v>3.6</v>
      </c>
      <c r="I149" s="67">
        <v>94</v>
      </c>
      <c r="J149" s="67">
        <v>5</v>
      </c>
      <c r="K149" s="5">
        <v>860</v>
      </c>
    </row>
    <row r="150" spans="1:15" x14ac:dyDescent="0.3">
      <c r="A150">
        <v>9</v>
      </c>
      <c r="B150" t="s">
        <v>358</v>
      </c>
      <c r="C150" s="6" t="s">
        <v>738</v>
      </c>
      <c r="D150" s="8">
        <v>4</v>
      </c>
      <c r="E150" s="85" t="s">
        <v>77</v>
      </c>
      <c r="F150" s="6">
        <v>11.41</v>
      </c>
      <c r="G150" s="7">
        <v>379</v>
      </c>
      <c r="H150" s="7">
        <v>13.2</v>
      </c>
      <c r="I150" s="7">
        <v>169</v>
      </c>
      <c r="J150" s="7">
        <v>15</v>
      </c>
      <c r="K150" s="8">
        <v>890</v>
      </c>
    </row>
    <row r="151" spans="1:15" x14ac:dyDescent="0.3">
      <c r="A151">
        <v>9</v>
      </c>
      <c r="B151" t="s">
        <v>358</v>
      </c>
      <c r="C151" s="6" t="s">
        <v>733</v>
      </c>
      <c r="D151" s="8">
        <v>12.6</v>
      </c>
      <c r="E151" s="85" t="s">
        <v>77</v>
      </c>
      <c r="F151" s="6">
        <v>10.5</v>
      </c>
      <c r="G151" s="7">
        <v>165</v>
      </c>
      <c r="H151" s="7">
        <v>2.6</v>
      </c>
      <c r="I151" s="7">
        <v>84</v>
      </c>
      <c r="J151" s="7">
        <v>28</v>
      </c>
      <c r="K151" s="8">
        <v>250</v>
      </c>
    </row>
    <row r="152" spans="1:15" x14ac:dyDescent="0.3">
      <c r="C152" s="6" t="s">
        <v>734</v>
      </c>
      <c r="D152" s="8"/>
      <c r="E152" s="85"/>
      <c r="F152" s="6"/>
      <c r="G152" s="7"/>
      <c r="H152" s="7"/>
      <c r="I152" s="7"/>
      <c r="J152" s="7"/>
      <c r="K152" s="8"/>
    </row>
    <row r="153" spans="1:15" x14ac:dyDescent="0.3">
      <c r="A153">
        <v>9</v>
      </c>
      <c r="B153" t="s">
        <v>358</v>
      </c>
      <c r="C153" s="6" t="s">
        <v>64</v>
      </c>
      <c r="D153" s="8">
        <v>0</v>
      </c>
      <c r="E153" s="85" t="s">
        <v>77</v>
      </c>
      <c r="F153" s="6"/>
      <c r="G153" s="7"/>
      <c r="H153" s="7"/>
      <c r="I153" s="7"/>
      <c r="J153" s="7"/>
      <c r="K153" s="8"/>
    </row>
    <row r="154" spans="1:15" x14ac:dyDescent="0.3">
      <c r="A154">
        <v>9</v>
      </c>
      <c r="B154" t="s">
        <v>358</v>
      </c>
      <c r="C154" s="6" t="s">
        <v>37</v>
      </c>
      <c r="D154" s="8">
        <v>0.2</v>
      </c>
      <c r="E154" s="85" t="s">
        <v>77</v>
      </c>
      <c r="F154" s="9">
        <v>0</v>
      </c>
      <c r="G154" s="15">
        <v>0</v>
      </c>
      <c r="H154" s="15">
        <v>5</v>
      </c>
      <c r="I154" s="15">
        <v>0</v>
      </c>
      <c r="J154" s="15">
        <v>0</v>
      </c>
      <c r="K154" s="11">
        <v>985</v>
      </c>
    </row>
    <row r="155" spans="1:15" x14ac:dyDescent="0.3">
      <c r="A155">
        <v>9</v>
      </c>
      <c r="B155" t="s">
        <v>358</v>
      </c>
      <c r="C155" s="9" t="s">
        <v>38</v>
      </c>
      <c r="D155" s="90">
        <v>33.700000000000003</v>
      </c>
      <c r="E155" s="85" t="s">
        <v>0</v>
      </c>
      <c r="L155" t="s">
        <v>300</v>
      </c>
      <c r="O155">
        <f>D155-D141</f>
        <v>2.9000000000000021</v>
      </c>
    </row>
    <row r="156" spans="1:15" x14ac:dyDescent="0.3">
      <c r="A156">
        <v>10</v>
      </c>
      <c r="B156" t="s">
        <v>361</v>
      </c>
      <c r="C156" s="4" t="s">
        <v>737</v>
      </c>
      <c r="D156" s="5">
        <v>10</v>
      </c>
      <c r="E156" s="85" t="s">
        <v>77</v>
      </c>
      <c r="F156" s="4">
        <v>12.76</v>
      </c>
      <c r="G156" s="67">
        <v>121</v>
      </c>
      <c r="H156" s="67">
        <v>3.6</v>
      </c>
      <c r="I156" s="67">
        <v>94</v>
      </c>
      <c r="J156" s="67"/>
      <c r="K156" s="5">
        <v>860</v>
      </c>
    </row>
    <row r="157" spans="1:15" x14ac:dyDescent="0.3">
      <c r="A157">
        <v>10</v>
      </c>
      <c r="B157" t="s">
        <v>361</v>
      </c>
      <c r="C157" s="6" t="s">
        <v>738</v>
      </c>
      <c r="D157" s="8">
        <v>0</v>
      </c>
      <c r="E157" s="85" t="s">
        <v>77</v>
      </c>
      <c r="F157" s="6">
        <v>11.41</v>
      </c>
      <c r="G157" s="7">
        <v>379</v>
      </c>
      <c r="H157" s="7">
        <v>13.2</v>
      </c>
      <c r="I157" s="7">
        <v>169</v>
      </c>
      <c r="J157" s="7"/>
      <c r="K157" s="8">
        <v>890</v>
      </c>
    </row>
    <row r="158" spans="1:15" x14ac:dyDescent="0.3">
      <c r="A158">
        <v>10</v>
      </c>
      <c r="B158" t="s">
        <v>361</v>
      </c>
      <c r="C158" s="6" t="s">
        <v>733</v>
      </c>
      <c r="D158" s="8">
        <v>7.4</v>
      </c>
      <c r="E158" s="85" t="s">
        <v>77</v>
      </c>
      <c r="F158" s="6">
        <v>10.96</v>
      </c>
      <c r="G158" s="85">
        <v>148</v>
      </c>
      <c r="H158" s="85">
        <v>2.9</v>
      </c>
      <c r="I158" s="85">
        <v>82</v>
      </c>
      <c r="J158" s="85"/>
      <c r="K158" s="8">
        <v>275</v>
      </c>
    </row>
    <row r="159" spans="1:15" x14ac:dyDescent="0.3">
      <c r="C159" s="6" t="s">
        <v>734</v>
      </c>
      <c r="D159" s="8"/>
      <c r="E159" s="85"/>
      <c r="F159" s="6"/>
      <c r="G159" s="85"/>
      <c r="H159" s="85"/>
      <c r="I159" s="85"/>
      <c r="J159" s="85"/>
      <c r="K159" s="8"/>
    </row>
    <row r="160" spans="1:15" x14ac:dyDescent="0.3">
      <c r="A160">
        <v>10</v>
      </c>
      <c r="B160" t="s">
        <v>361</v>
      </c>
      <c r="C160" s="6" t="s">
        <v>64</v>
      </c>
      <c r="D160" s="8">
        <v>4.9000000000000004</v>
      </c>
      <c r="E160" s="85" t="s">
        <v>77</v>
      </c>
      <c r="F160" s="6">
        <v>10.24</v>
      </c>
      <c r="G160" s="85">
        <v>100</v>
      </c>
      <c r="H160" s="85">
        <v>2.5</v>
      </c>
      <c r="I160" s="85">
        <v>76</v>
      </c>
      <c r="J160" s="85"/>
      <c r="K160" s="8">
        <v>350</v>
      </c>
      <c r="L160" t="s">
        <v>421</v>
      </c>
    </row>
    <row r="161" spans="1:12" x14ac:dyDescent="0.3">
      <c r="A161">
        <v>10</v>
      </c>
      <c r="B161" t="s">
        <v>361</v>
      </c>
      <c r="C161" s="6" t="s">
        <v>37</v>
      </c>
      <c r="D161" s="8">
        <v>0.2</v>
      </c>
      <c r="E161" s="85" t="s">
        <v>77</v>
      </c>
      <c r="F161" s="9">
        <v>0</v>
      </c>
      <c r="G161" s="15">
        <v>0</v>
      </c>
      <c r="H161" s="15">
        <v>5</v>
      </c>
      <c r="I161" s="15">
        <v>0</v>
      </c>
      <c r="J161" s="15"/>
      <c r="K161" s="11">
        <v>985</v>
      </c>
    </row>
    <row r="162" spans="1:12" x14ac:dyDescent="0.3">
      <c r="A162">
        <v>10</v>
      </c>
      <c r="B162" t="s">
        <v>361</v>
      </c>
      <c r="C162" s="9" t="s">
        <v>38</v>
      </c>
      <c r="D162" s="90">
        <v>31.5</v>
      </c>
      <c r="E162" s="85" t="s">
        <v>0</v>
      </c>
      <c r="L162" t="s">
        <v>300</v>
      </c>
    </row>
    <row r="163" spans="1:12" x14ac:dyDescent="0.3">
      <c r="A163">
        <v>11</v>
      </c>
      <c r="B163" t="s">
        <v>362</v>
      </c>
      <c r="C163" s="4" t="s">
        <v>737</v>
      </c>
      <c r="D163" s="5">
        <v>8</v>
      </c>
      <c r="E163" s="85" t="s">
        <v>77</v>
      </c>
      <c r="F163" s="4">
        <v>12.76</v>
      </c>
      <c r="G163" s="67">
        <v>121</v>
      </c>
      <c r="H163" s="67">
        <v>3.6</v>
      </c>
      <c r="I163" s="67">
        <v>94</v>
      </c>
      <c r="J163" s="67"/>
      <c r="K163" s="5">
        <v>860</v>
      </c>
    </row>
    <row r="164" spans="1:12" x14ac:dyDescent="0.3">
      <c r="A164">
        <v>11</v>
      </c>
      <c r="B164" t="s">
        <v>362</v>
      </c>
      <c r="C164" s="6" t="s">
        <v>738</v>
      </c>
      <c r="D164" s="8">
        <v>2</v>
      </c>
      <c r="E164" s="85" t="s">
        <v>77</v>
      </c>
      <c r="F164" s="6">
        <v>11.41</v>
      </c>
      <c r="G164" s="7">
        <v>379</v>
      </c>
      <c r="H164" s="7">
        <v>13.2</v>
      </c>
      <c r="I164" s="7">
        <v>169</v>
      </c>
      <c r="J164" s="7"/>
      <c r="K164" s="8">
        <v>890</v>
      </c>
    </row>
    <row r="165" spans="1:12" x14ac:dyDescent="0.3">
      <c r="A165">
        <v>11</v>
      </c>
      <c r="B165" t="s">
        <v>362</v>
      </c>
      <c r="C165" s="6" t="s">
        <v>733</v>
      </c>
      <c r="D165" s="8">
        <v>7.8</v>
      </c>
      <c r="E165" s="85" t="s">
        <v>77</v>
      </c>
      <c r="F165" s="6">
        <v>10.96</v>
      </c>
      <c r="G165" s="85">
        <v>148</v>
      </c>
      <c r="H165" s="85">
        <v>2.9</v>
      </c>
      <c r="I165" s="85">
        <v>82</v>
      </c>
      <c r="J165" s="85"/>
      <c r="K165" s="8">
        <v>270</v>
      </c>
    </row>
    <row r="166" spans="1:12" x14ac:dyDescent="0.3">
      <c r="C166" s="6" t="s">
        <v>734</v>
      </c>
      <c r="D166" s="8"/>
      <c r="E166" s="85"/>
      <c r="F166" s="6"/>
      <c r="G166" s="85"/>
      <c r="H166" s="85"/>
      <c r="I166" s="85"/>
      <c r="J166" s="85"/>
      <c r="K166" s="8"/>
    </row>
    <row r="167" spans="1:12" x14ac:dyDescent="0.3">
      <c r="A167">
        <v>11</v>
      </c>
      <c r="B167" t="s">
        <v>362</v>
      </c>
      <c r="C167" s="6" t="s">
        <v>64</v>
      </c>
      <c r="D167" s="8">
        <v>5.2</v>
      </c>
      <c r="E167" s="85" t="s">
        <v>77</v>
      </c>
      <c r="F167" s="6">
        <v>10.24</v>
      </c>
      <c r="G167" s="85">
        <v>100</v>
      </c>
      <c r="H167" s="85">
        <v>2.5</v>
      </c>
      <c r="I167" s="85">
        <v>76</v>
      </c>
      <c r="J167" s="85"/>
      <c r="K167" s="8">
        <v>350</v>
      </c>
      <c r="L167" t="s">
        <v>421</v>
      </c>
    </row>
    <row r="168" spans="1:12" x14ac:dyDescent="0.3">
      <c r="A168">
        <v>11</v>
      </c>
      <c r="B168" t="s">
        <v>362</v>
      </c>
      <c r="C168" s="6" t="s">
        <v>37</v>
      </c>
      <c r="D168" s="8">
        <v>0.2</v>
      </c>
      <c r="E168" s="85" t="s">
        <v>77</v>
      </c>
      <c r="F168" s="9">
        <v>0</v>
      </c>
      <c r="G168" s="15">
        <v>0</v>
      </c>
      <c r="H168" s="15">
        <v>5</v>
      </c>
      <c r="I168" s="15">
        <v>0</v>
      </c>
      <c r="J168" s="15"/>
      <c r="K168" s="11">
        <v>985</v>
      </c>
    </row>
    <row r="169" spans="1:12" x14ac:dyDescent="0.3">
      <c r="A169">
        <v>11</v>
      </c>
      <c r="B169" t="s">
        <v>362</v>
      </c>
      <c r="C169" s="9" t="s">
        <v>38</v>
      </c>
      <c r="D169" s="90">
        <v>33.700000000000003</v>
      </c>
      <c r="E169" s="85" t="s">
        <v>0</v>
      </c>
      <c r="L169" t="s">
        <v>300</v>
      </c>
    </row>
    <row r="170" spans="1:12" x14ac:dyDescent="0.3">
      <c r="A170">
        <v>12</v>
      </c>
      <c r="B170" t="s">
        <v>363</v>
      </c>
      <c r="C170" s="4" t="s">
        <v>737</v>
      </c>
      <c r="D170" s="5">
        <v>6</v>
      </c>
      <c r="E170" s="85" t="s">
        <v>77</v>
      </c>
      <c r="F170" s="4">
        <v>12.76</v>
      </c>
      <c r="G170" s="67">
        <v>121</v>
      </c>
      <c r="H170" s="67">
        <v>3.6</v>
      </c>
      <c r="I170" s="67">
        <v>94</v>
      </c>
      <c r="J170" s="67"/>
      <c r="K170" s="5">
        <v>860</v>
      </c>
    </row>
    <row r="171" spans="1:12" x14ac:dyDescent="0.3">
      <c r="A171">
        <v>12</v>
      </c>
      <c r="B171" t="s">
        <v>363</v>
      </c>
      <c r="C171" s="6" t="s">
        <v>738</v>
      </c>
      <c r="D171" s="8">
        <v>4</v>
      </c>
      <c r="E171" s="85" t="s">
        <v>77</v>
      </c>
      <c r="F171" s="6">
        <v>11.41</v>
      </c>
      <c r="G171" s="7">
        <v>379</v>
      </c>
      <c r="H171" s="7">
        <v>13.2</v>
      </c>
      <c r="I171" s="7">
        <v>169</v>
      </c>
      <c r="J171" s="7"/>
      <c r="K171" s="8">
        <v>890</v>
      </c>
    </row>
    <row r="172" spans="1:12" x14ac:dyDescent="0.3">
      <c r="A172">
        <v>12</v>
      </c>
      <c r="B172" t="s">
        <v>363</v>
      </c>
      <c r="C172" s="6" t="s">
        <v>733</v>
      </c>
      <c r="D172" s="8">
        <v>8</v>
      </c>
      <c r="E172" s="85" t="s">
        <v>77</v>
      </c>
      <c r="F172" s="6">
        <v>10.96</v>
      </c>
      <c r="G172" s="85">
        <v>148</v>
      </c>
      <c r="H172" s="85">
        <v>2.9</v>
      </c>
      <c r="I172" s="85">
        <v>82</v>
      </c>
      <c r="J172" s="85"/>
      <c r="K172" s="8">
        <v>270</v>
      </c>
    </row>
    <row r="173" spans="1:12" x14ac:dyDescent="0.3">
      <c r="C173" s="6" t="s">
        <v>734</v>
      </c>
      <c r="D173" s="8"/>
      <c r="E173" s="85"/>
      <c r="F173" s="6"/>
      <c r="G173" s="85"/>
      <c r="H173" s="85"/>
      <c r="I173" s="85"/>
      <c r="J173" s="85"/>
      <c r="K173" s="8"/>
    </row>
    <row r="174" spans="1:12" x14ac:dyDescent="0.3">
      <c r="A174">
        <v>12</v>
      </c>
      <c r="B174" t="s">
        <v>363</v>
      </c>
      <c r="C174" s="6" t="s">
        <v>64</v>
      </c>
      <c r="D174" s="8">
        <v>5.4</v>
      </c>
      <c r="E174" s="85" t="s">
        <v>77</v>
      </c>
      <c r="F174" s="6">
        <v>10.24</v>
      </c>
      <c r="G174" s="85">
        <v>100</v>
      </c>
      <c r="H174" s="85">
        <v>2.5</v>
      </c>
      <c r="I174" s="85">
        <v>76</v>
      </c>
      <c r="J174" s="85"/>
      <c r="K174" s="8">
        <v>350</v>
      </c>
      <c r="L174" t="s">
        <v>421</v>
      </c>
    </row>
    <row r="175" spans="1:12" x14ac:dyDescent="0.3">
      <c r="A175">
        <v>12</v>
      </c>
      <c r="B175" t="s">
        <v>363</v>
      </c>
      <c r="C175" s="6" t="s">
        <v>37</v>
      </c>
      <c r="D175" s="8">
        <v>0.2</v>
      </c>
      <c r="E175" s="85" t="s">
        <v>77</v>
      </c>
      <c r="F175" s="9">
        <v>0</v>
      </c>
      <c r="G175" s="15">
        <v>0</v>
      </c>
      <c r="H175" s="15">
        <v>5</v>
      </c>
      <c r="I175" s="15">
        <v>0</v>
      </c>
      <c r="J175" s="15"/>
      <c r="K175" s="11">
        <v>985</v>
      </c>
    </row>
    <row r="176" spans="1:12" x14ac:dyDescent="0.3">
      <c r="A176">
        <v>12</v>
      </c>
      <c r="B176" t="s">
        <v>363</v>
      </c>
      <c r="C176" s="9" t="s">
        <v>38</v>
      </c>
      <c r="D176" s="90">
        <v>35</v>
      </c>
      <c r="E176" s="85" t="s">
        <v>0</v>
      </c>
      <c r="L176" t="s">
        <v>300</v>
      </c>
    </row>
    <row r="177" spans="1:12" x14ac:dyDescent="0.3">
      <c r="A177">
        <v>108</v>
      </c>
      <c r="B177" t="s">
        <v>441</v>
      </c>
      <c r="C177" s="4" t="s">
        <v>737</v>
      </c>
      <c r="D177" s="5">
        <v>9.1</v>
      </c>
      <c r="E177" s="85" t="s">
        <v>77</v>
      </c>
      <c r="F177" s="4">
        <v>12.76</v>
      </c>
      <c r="G177" s="67">
        <v>121</v>
      </c>
      <c r="H177" s="67">
        <v>4.05</v>
      </c>
      <c r="I177" s="67">
        <v>95</v>
      </c>
      <c r="J177" s="67"/>
      <c r="K177" s="5">
        <v>860</v>
      </c>
      <c r="L177" t="s">
        <v>521</v>
      </c>
    </row>
    <row r="178" spans="1:12" x14ac:dyDescent="0.3">
      <c r="A178">
        <v>108</v>
      </c>
      <c r="B178" t="s">
        <v>441</v>
      </c>
      <c r="C178" s="6" t="s">
        <v>738</v>
      </c>
      <c r="D178" s="8">
        <v>2.2999999999999998</v>
      </c>
      <c r="E178" s="85" t="s">
        <v>77</v>
      </c>
      <c r="F178" s="6">
        <v>11.41</v>
      </c>
      <c r="G178" s="7">
        <v>379</v>
      </c>
      <c r="H178" s="7">
        <v>13.2</v>
      </c>
      <c r="I178" s="7">
        <v>169</v>
      </c>
      <c r="J178" s="7"/>
      <c r="K178" s="8">
        <v>890</v>
      </c>
    </row>
    <row r="179" spans="1:12" x14ac:dyDescent="0.3">
      <c r="A179">
        <v>108</v>
      </c>
      <c r="B179" t="s">
        <v>441</v>
      </c>
      <c r="C179" s="6" t="s">
        <v>733</v>
      </c>
      <c r="D179" s="8">
        <v>11.3</v>
      </c>
      <c r="E179" s="85" t="s">
        <v>77</v>
      </c>
      <c r="F179" s="6">
        <v>10.9</v>
      </c>
      <c r="G179" s="7">
        <v>150</v>
      </c>
      <c r="H179" s="7">
        <v>3.2</v>
      </c>
      <c r="I179" s="7">
        <v>82.2</v>
      </c>
      <c r="J179" s="7"/>
      <c r="K179" s="8">
        <v>250</v>
      </c>
    </row>
    <row r="180" spans="1:12" x14ac:dyDescent="0.3">
      <c r="C180" s="6" t="s">
        <v>734</v>
      </c>
      <c r="D180" s="8"/>
      <c r="E180" s="85"/>
      <c r="F180" s="6"/>
      <c r="G180" s="7"/>
      <c r="H180" s="7"/>
      <c r="I180" s="7"/>
      <c r="J180" s="7"/>
      <c r="K180" s="8"/>
    </row>
    <row r="181" spans="1:12" x14ac:dyDescent="0.3">
      <c r="A181">
        <v>108</v>
      </c>
      <c r="B181" t="s">
        <v>441</v>
      </c>
      <c r="C181" s="6" t="s">
        <v>64</v>
      </c>
      <c r="D181" s="8">
        <v>0</v>
      </c>
      <c r="E181" s="85" t="s">
        <v>77</v>
      </c>
      <c r="F181" s="6"/>
      <c r="G181" s="7"/>
      <c r="H181" s="7"/>
      <c r="I181" s="7"/>
      <c r="J181" s="7"/>
      <c r="K181" s="8"/>
    </row>
    <row r="182" spans="1:12" x14ac:dyDescent="0.3">
      <c r="A182">
        <v>108</v>
      </c>
      <c r="B182" t="s">
        <v>441</v>
      </c>
      <c r="C182" s="6" t="s">
        <v>37</v>
      </c>
      <c r="D182" s="8">
        <v>0.2</v>
      </c>
      <c r="E182" s="85" t="s">
        <v>77</v>
      </c>
      <c r="F182" s="9">
        <v>0</v>
      </c>
      <c r="G182" s="15">
        <v>0</v>
      </c>
      <c r="H182" s="15">
        <v>5</v>
      </c>
      <c r="I182" s="15">
        <v>0</v>
      </c>
      <c r="J182" s="15"/>
      <c r="K182" s="11">
        <v>985</v>
      </c>
    </row>
    <row r="183" spans="1:12" x14ac:dyDescent="0.3">
      <c r="A183">
        <v>108</v>
      </c>
      <c r="B183" t="s">
        <v>441</v>
      </c>
      <c r="C183" s="9" t="s">
        <v>38</v>
      </c>
      <c r="D183" s="90">
        <v>32.6</v>
      </c>
      <c r="E183" s="85" t="s">
        <v>0</v>
      </c>
      <c r="L183" t="s">
        <v>300</v>
      </c>
    </row>
    <row r="184" spans="1:12" x14ac:dyDescent="0.3">
      <c r="A184">
        <v>107</v>
      </c>
      <c r="B184" t="s">
        <v>442</v>
      </c>
      <c r="C184" s="4" t="s">
        <v>737</v>
      </c>
      <c r="D184" s="5">
        <v>10.1</v>
      </c>
      <c r="E184" s="85" t="s">
        <v>77</v>
      </c>
      <c r="F184" s="4">
        <v>12.76</v>
      </c>
      <c r="G184" s="67">
        <v>121</v>
      </c>
      <c r="H184" s="67">
        <v>4.05</v>
      </c>
      <c r="I184" s="67">
        <v>95</v>
      </c>
      <c r="J184" s="67"/>
      <c r="K184" s="5">
        <v>860</v>
      </c>
      <c r="L184" t="s">
        <v>521</v>
      </c>
    </row>
    <row r="185" spans="1:12" x14ac:dyDescent="0.3">
      <c r="A185">
        <v>107</v>
      </c>
      <c r="B185" t="s">
        <v>442</v>
      </c>
      <c r="C185" s="6" t="s">
        <v>738</v>
      </c>
      <c r="D185" s="8">
        <v>1.1000000000000001</v>
      </c>
      <c r="E185" s="85" t="s">
        <v>77</v>
      </c>
      <c r="F185" s="6">
        <v>11.41</v>
      </c>
      <c r="G185" s="7">
        <v>379</v>
      </c>
      <c r="H185" s="7">
        <v>13.2</v>
      </c>
      <c r="I185" s="7">
        <v>169</v>
      </c>
      <c r="J185" s="7"/>
      <c r="K185" s="8">
        <v>890</v>
      </c>
    </row>
    <row r="186" spans="1:12" x14ac:dyDescent="0.3">
      <c r="A186">
        <v>107</v>
      </c>
      <c r="B186" t="s">
        <v>442</v>
      </c>
      <c r="C186" s="6" t="s">
        <v>733</v>
      </c>
      <c r="D186" s="8">
        <v>11.2</v>
      </c>
      <c r="E186" s="85" t="s">
        <v>77</v>
      </c>
      <c r="F186" s="6">
        <v>10.9</v>
      </c>
      <c r="G186" s="7">
        <v>150</v>
      </c>
      <c r="H186" s="7">
        <v>3.2</v>
      </c>
      <c r="I186" s="7">
        <v>82.2</v>
      </c>
      <c r="J186" s="7"/>
      <c r="K186" s="8">
        <v>250</v>
      </c>
    </row>
    <row r="187" spans="1:12" x14ac:dyDescent="0.3">
      <c r="C187" s="6" t="s">
        <v>734</v>
      </c>
      <c r="D187" s="8"/>
      <c r="E187" s="85"/>
      <c r="F187" s="6"/>
      <c r="G187" s="7"/>
      <c r="H187" s="7"/>
      <c r="I187" s="7"/>
      <c r="J187" s="7"/>
      <c r="K187" s="8"/>
    </row>
    <row r="188" spans="1:12" x14ac:dyDescent="0.3">
      <c r="A188">
        <v>107</v>
      </c>
      <c r="B188" t="s">
        <v>442</v>
      </c>
      <c r="C188" s="6" t="s">
        <v>64</v>
      </c>
      <c r="D188" s="8">
        <v>0</v>
      </c>
      <c r="E188" s="85" t="s">
        <v>77</v>
      </c>
      <c r="F188" s="6"/>
      <c r="G188" s="7"/>
      <c r="H188" s="7"/>
      <c r="I188" s="7"/>
      <c r="J188" s="7"/>
      <c r="K188" s="8"/>
    </row>
    <row r="189" spans="1:12" x14ac:dyDescent="0.3">
      <c r="A189">
        <v>107</v>
      </c>
      <c r="B189" t="s">
        <v>442</v>
      </c>
      <c r="C189" s="6" t="s">
        <v>37</v>
      </c>
      <c r="D189" s="8">
        <v>0.2</v>
      </c>
      <c r="E189" s="85" t="s">
        <v>77</v>
      </c>
      <c r="F189" s="9">
        <v>0</v>
      </c>
      <c r="G189" s="15">
        <v>0</v>
      </c>
      <c r="H189" s="15">
        <v>5</v>
      </c>
      <c r="I189" s="15">
        <v>0</v>
      </c>
      <c r="J189" s="15"/>
      <c r="K189" s="11">
        <v>985</v>
      </c>
    </row>
    <row r="190" spans="1:12" x14ac:dyDescent="0.3">
      <c r="A190">
        <v>107</v>
      </c>
      <c r="B190" t="s">
        <v>442</v>
      </c>
      <c r="C190" s="9" t="s">
        <v>38</v>
      </c>
      <c r="D190" s="90">
        <v>31.8</v>
      </c>
      <c r="E190" s="85" t="s">
        <v>0</v>
      </c>
      <c r="L190" t="s">
        <v>300</v>
      </c>
    </row>
    <row r="191" spans="1:12" x14ac:dyDescent="0.3">
      <c r="A191">
        <v>106</v>
      </c>
      <c r="B191" t="s">
        <v>443</v>
      </c>
      <c r="C191" s="4" t="s">
        <v>737</v>
      </c>
      <c r="D191" s="5">
        <v>7</v>
      </c>
      <c r="E191" s="85" t="s">
        <v>77</v>
      </c>
      <c r="F191" s="4">
        <v>12.76</v>
      </c>
      <c r="G191" s="67">
        <v>121</v>
      </c>
      <c r="H191" s="67">
        <v>4.05</v>
      </c>
      <c r="I191" s="67">
        <v>95</v>
      </c>
      <c r="J191" s="67"/>
      <c r="K191" s="5">
        <v>860</v>
      </c>
      <c r="L191" t="s">
        <v>521</v>
      </c>
    </row>
    <row r="192" spans="1:12" x14ac:dyDescent="0.3">
      <c r="A192">
        <v>106</v>
      </c>
      <c r="B192" t="s">
        <v>443</v>
      </c>
      <c r="C192" s="6" t="s">
        <v>738</v>
      </c>
      <c r="D192" s="8">
        <v>1.7</v>
      </c>
      <c r="E192" s="85" t="s">
        <v>77</v>
      </c>
      <c r="F192" s="6">
        <v>11.41</v>
      </c>
      <c r="G192" s="7">
        <v>379</v>
      </c>
      <c r="H192" s="7">
        <v>13.2</v>
      </c>
      <c r="I192" s="7">
        <v>169</v>
      </c>
      <c r="J192" s="7"/>
      <c r="K192" s="8">
        <v>890</v>
      </c>
    </row>
    <row r="193" spans="1:12" x14ac:dyDescent="0.3">
      <c r="A193">
        <v>106</v>
      </c>
      <c r="B193" t="s">
        <v>443</v>
      </c>
      <c r="C193" s="6" t="s">
        <v>733</v>
      </c>
      <c r="D193" s="8">
        <v>12.9</v>
      </c>
      <c r="E193" s="85" t="s">
        <v>77</v>
      </c>
      <c r="F193" s="6">
        <v>10.9</v>
      </c>
      <c r="G193" s="7">
        <v>150</v>
      </c>
      <c r="H193" s="7">
        <v>3.2</v>
      </c>
      <c r="I193" s="7">
        <v>82.2</v>
      </c>
      <c r="J193" s="7"/>
      <c r="K193" s="8">
        <v>250</v>
      </c>
    </row>
    <row r="194" spans="1:12" x14ac:dyDescent="0.3">
      <c r="C194" s="6" t="s">
        <v>734</v>
      </c>
      <c r="D194" s="8"/>
      <c r="E194" s="85"/>
      <c r="F194" s="6"/>
      <c r="G194" s="7"/>
      <c r="H194" s="7"/>
      <c r="I194" s="7"/>
      <c r="J194" s="7"/>
      <c r="K194" s="8"/>
    </row>
    <row r="195" spans="1:12" x14ac:dyDescent="0.3">
      <c r="A195">
        <v>106</v>
      </c>
      <c r="B195" t="s">
        <v>443</v>
      </c>
      <c r="C195" s="6" t="s">
        <v>64</v>
      </c>
      <c r="D195" s="8">
        <v>0</v>
      </c>
      <c r="E195" s="85" t="s">
        <v>77</v>
      </c>
      <c r="F195" s="6"/>
      <c r="G195" s="7"/>
      <c r="H195" s="7"/>
      <c r="I195" s="7"/>
      <c r="J195" s="7"/>
      <c r="K195" s="8"/>
    </row>
    <row r="196" spans="1:12" x14ac:dyDescent="0.3">
      <c r="A196">
        <v>106</v>
      </c>
      <c r="B196" t="s">
        <v>443</v>
      </c>
      <c r="C196" s="6" t="s">
        <v>37</v>
      </c>
      <c r="D196" s="8">
        <v>0.2</v>
      </c>
      <c r="E196" s="85" t="s">
        <v>77</v>
      </c>
      <c r="F196" s="9">
        <v>0</v>
      </c>
      <c r="G196" s="15">
        <v>0</v>
      </c>
      <c r="H196" s="15">
        <v>5</v>
      </c>
      <c r="I196" s="15">
        <v>0</v>
      </c>
      <c r="J196" s="15"/>
      <c r="K196" s="11">
        <v>985</v>
      </c>
    </row>
    <row r="197" spans="1:12" x14ac:dyDescent="0.3">
      <c r="A197">
        <v>106</v>
      </c>
      <c r="B197" t="s">
        <v>443</v>
      </c>
      <c r="C197" s="9" t="s">
        <v>38</v>
      </c>
      <c r="D197" s="90">
        <v>31.1</v>
      </c>
      <c r="E197" s="85" t="s">
        <v>0</v>
      </c>
      <c r="L197" t="s">
        <v>300</v>
      </c>
    </row>
    <row r="198" spans="1:12" x14ac:dyDescent="0.3">
      <c r="A198">
        <v>105</v>
      </c>
      <c r="B198" t="s">
        <v>444</v>
      </c>
      <c r="C198" s="4" t="s">
        <v>737</v>
      </c>
      <c r="D198" s="5">
        <v>7.6</v>
      </c>
      <c r="E198" s="85" t="s">
        <v>77</v>
      </c>
      <c r="F198" s="4">
        <v>12.76</v>
      </c>
      <c r="G198" s="67">
        <v>121</v>
      </c>
      <c r="H198" s="67">
        <v>4.05</v>
      </c>
      <c r="I198" s="67">
        <v>95</v>
      </c>
      <c r="J198" s="67"/>
      <c r="K198" s="5">
        <v>860</v>
      </c>
      <c r="L198" t="s">
        <v>521</v>
      </c>
    </row>
    <row r="199" spans="1:12" x14ac:dyDescent="0.3">
      <c r="A199">
        <v>105</v>
      </c>
      <c r="B199" t="s">
        <v>444</v>
      </c>
      <c r="C199" s="6" t="s">
        <v>738</v>
      </c>
      <c r="D199" s="8">
        <v>0.8</v>
      </c>
      <c r="E199" s="85" t="s">
        <v>77</v>
      </c>
      <c r="F199" s="6">
        <v>11.41</v>
      </c>
      <c r="G199" s="7">
        <v>379</v>
      </c>
      <c r="H199" s="7">
        <v>13.2</v>
      </c>
      <c r="I199" s="7">
        <v>169</v>
      </c>
      <c r="J199" s="7"/>
      <c r="K199" s="8">
        <v>890</v>
      </c>
    </row>
    <row r="200" spans="1:12" x14ac:dyDescent="0.3">
      <c r="A200">
        <v>105</v>
      </c>
      <c r="B200" t="s">
        <v>444</v>
      </c>
      <c r="C200" s="6" t="s">
        <v>733</v>
      </c>
      <c r="D200" s="8">
        <v>12.8</v>
      </c>
      <c r="E200" s="85" t="s">
        <v>77</v>
      </c>
      <c r="F200" s="6">
        <v>10.9</v>
      </c>
      <c r="G200" s="7">
        <v>150</v>
      </c>
      <c r="H200" s="7">
        <v>3.2</v>
      </c>
      <c r="I200" s="7">
        <v>82.2</v>
      </c>
      <c r="J200" s="7"/>
      <c r="K200" s="8">
        <v>250</v>
      </c>
    </row>
    <row r="201" spans="1:12" x14ac:dyDescent="0.3">
      <c r="C201" s="6" t="s">
        <v>734</v>
      </c>
      <c r="D201" s="8"/>
      <c r="E201" s="85"/>
      <c r="F201" s="6"/>
      <c r="G201" s="7"/>
      <c r="H201" s="7"/>
      <c r="I201" s="7"/>
      <c r="J201" s="7"/>
      <c r="K201" s="8"/>
    </row>
    <row r="202" spans="1:12" x14ac:dyDescent="0.3">
      <c r="A202">
        <v>105</v>
      </c>
      <c r="B202" t="s">
        <v>444</v>
      </c>
      <c r="C202" s="6" t="s">
        <v>64</v>
      </c>
      <c r="D202" s="8">
        <v>0</v>
      </c>
      <c r="E202" s="85" t="s">
        <v>77</v>
      </c>
      <c r="F202" s="6"/>
      <c r="G202" s="7"/>
      <c r="H202" s="7"/>
      <c r="I202" s="7"/>
      <c r="J202" s="7"/>
      <c r="K202" s="8"/>
    </row>
    <row r="203" spans="1:12" x14ac:dyDescent="0.3">
      <c r="A203">
        <v>105</v>
      </c>
      <c r="B203" t="s">
        <v>444</v>
      </c>
      <c r="C203" s="6" t="s">
        <v>37</v>
      </c>
      <c r="D203" s="8">
        <v>0.2</v>
      </c>
      <c r="E203" s="85" t="s">
        <v>77</v>
      </c>
      <c r="F203" s="9">
        <v>0</v>
      </c>
      <c r="G203" s="15">
        <v>0</v>
      </c>
      <c r="H203" s="15">
        <v>5</v>
      </c>
      <c r="I203" s="15">
        <v>0</v>
      </c>
      <c r="J203" s="15"/>
      <c r="K203" s="11">
        <v>985</v>
      </c>
    </row>
    <row r="204" spans="1:12" x14ac:dyDescent="0.3">
      <c r="A204">
        <v>105</v>
      </c>
      <c r="B204" t="s">
        <v>444</v>
      </c>
      <c r="C204" s="9" t="s">
        <v>38</v>
      </c>
      <c r="D204" s="90">
        <v>30.4</v>
      </c>
      <c r="E204" s="85" t="s">
        <v>0</v>
      </c>
      <c r="L204" t="s">
        <v>300</v>
      </c>
    </row>
    <row r="205" spans="1:12" x14ac:dyDescent="0.3">
      <c r="A205">
        <v>101</v>
      </c>
      <c r="B205" t="s">
        <v>516</v>
      </c>
      <c r="C205" s="4" t="s">
        <v>737</v>
      </c>
      <c r="D205" s="5">
        <v>6.9</v>
      </c>
      <c r="E205" s="85" t="s">
        <v>77</v>
      </c>
      <c r="F205" s="4">
        <v>12.76</v>
      </c>
      <c r="G205" s="67">
        <v>121</v>
      </c>
      <c r="H205" s="67">
        <v>4.05</v>
      </c>
      <c r="I205" s="67">
        <v>95</v>
      </c>
      <c r="J205" s="67"/>
      <c r="K205" s="5">
        <v>860</v>
      </c>
      <c r="L205" t="s">
        <v>512</v>
      </c>
    </row>
    <row r="206" spans="1:12" x14ac:dyDescent="0.3">
      <c r="A206">
        <v>101</v>
      </c>
      <c r="B206" t="s">
        <v>516</v>
      </c>
      <c r="C206" s="6" t="s">
        <v>738</v>
      </c>
      <c r="D206" s="8">
        <v>0.7</v>
      </c>
      <c r="E206" s="85" t="s">
        <v>77</v>
      </c>
      <c r="F206" s="6">
        <v>11.41</v>
      </c>
      <c r="G206" s="7">
        <v>379</v>
      </c>
      <c r="H206" s="7">
        <v>13.2</v>
      </c>
      <c r="I206" s="7">
        <v>169</v>
      </c>
      <c r="J206" s="7"/>
      <c r="K206" s="8">
        <v>890</v>
      </c>
    </row>
    <row r="207" spans="1:12" x14ac:dyDescent="0.3">
      <c r="A207">
        <v>101</v>
      </c>
      <c r="B207" t="s">
        <v>516</v>
      </c>
      <c r="C207" s="6" t="s">
        <v>733</v>
      </c>
      <c r="D207" s="8">
        <v>11.2</v>
      </c>
      <c r="E207" s="85" t="s">
        <v>77</v>
      </c>
      <c r="F207" s="6">
        <v>10.9</v>
      </c>
      <c r="G207" s="7">
        <v>150</v>
      </c>
      <c r="H207" s="7">
        <v>3.2</v>
      </c>
      <c r="I207" s="7">
        <v>82.2</v>
      </c>
      <c r="J207" s="7"/>
      <c r="K207" s="8">
        <v>250</v>
      </c>
    </row>
    <row r="208" spans="1:12" x14ac:dyDescent="0.3">
      <c r="C208" s="6" t="s">
        <v>734</v>
      </c>
      <c r="D208" s="8"/>
      <c r="E208" s="85"/>
      <c r="F208" s="6"/>
      <c r="G208" s="7"/>
      <c r="H208" s="7"/>
      <c r="I208" s="7"/>
      <c r="J208" s="7"/>
      <c r="K208" s="8"/>
    </row>
    <row r="209" spans="1:12" x14ac:dyDescent="0.3">
      <c r="A209">
        <v>101</v>
      </c>
      <c r="B209" t="s">
        <v>516</v>
      </c>
      <c r="C209" s="6" t="s">
        <v>64</v>
      </c>
      <c r="D209" s="8">
        <v>0</v>
      </c>
      <c r="E209" s="85" t="s">
        <v>77</v>
      </c>
      <c r="F209" s="6"/>
      <c r="G209" s="7"/>
      <c r="H209" s="7"/>
      <c r="I209" s="7"/>
      <c r="J209" s="7"/>
      <c r="K209" s="8"/>
    </row>
    <row r="210" spans="1:12" x14ac:dyDescent="0.3">
      <c r="A210">
        <v>101</v>
      </c>
      <c r="B210" t="s">
        <v>516</v>
      </c>
      <c r="C210" s="6" t="s">
        <v>37</v>
      </c>
      <c r="D210" s="8">
        <v>0.2</v>
      </c>
      <c r="E210" s="85" t="s">
        <v>77</v>
      </c>
      <c r="F210" s="9">
        <v>0</v>
      </c>
      <c r="G210" s="15">
        <v>0</v>
      </c>
      <c r="H210" s="15">
        <v>5</v>
      </c>
      <c r="I210" s="15">
        <v>0</v>
      </c>
      <c r="J210" s="15"/>
      <c r="K210" s="11">
        <v>985</v>
      </c>
    </row>
    <row r="211" spans="1:12" x14ac:dyDescent="0.3">
      <c r="A211">
        <v>101</v>
      </c>
      <c r="B211" t="s">
        <v>516</v>
      </c>
      <c r="C211" s="9" t="s">
        <v>38</v>
      </c>
      <c r="D211" s="90">
        <v>27.7</v>
      </c>
      <c r="E211" s="85" t="s">
        <v>0</v>
      </c>
      <c r="L211" t="s">
        <v>300</v>
      </c>
    </row>
    <row r="212" spans="1:12" x14ac:dyDescent="0.3">
      <c r="A212">
        <v>102</v>
      </c>
      <c r="B212" t="s">
        <v>517</v>
      </c>
      <c r="C212" s="4" t="s">
        <v>737</v>
      </c>
      <c r="D212" s="5">
        <v>6.2</v>
      </c>
      <c r="E212" s="85" t="s">
        <v>77</v>
      </c>
      <c r="F212" s="4">
        <v>12.76</v>
      </c>
      <c r="G212" s="67">
        <v>121</v>
      </c>
      <c r="H212" s="67">
        <v>4.05</v>
      </c>
      <c r="I212" s="67">
        <v>95</v>
      </c>
      <c r="J212" s="67"/>
      <c r="K212" s="5">
        <v>860</v>
      </c>
      <c r="L212" t="s">
        <v>512</v>
      </c>
    </row>
    <row r="213" spans="1:12" x14ac:dyDescent="0.3">
      <c r="A213">
        <v>102</v>
      </c>
      <c r="B213" t="s">
        <v>517</v>
      </c>
      <c r="C213" s="6" t="s">
        <v>738</v>
      </c>
      <c r="D213" s="8">
        <v>1.5</v>
      </c>
      <c r="E213" s="85" t="s">
        <v>77</v>
      </c>
      <c r="F213" s="6">
        <v>11.41</v>
      </c>
      <c r="G213" s="7">
        <v>379</v>
      </c>
      <c r="H213" s="7">
        <v>13.2</v>
      </c>
      <c r="I213" s="7">
        <v>169</v>
      </c>
      <c r="J213" s="7"/>
      <c r="K213" s="8">
        <v>890</v>
      </c>
    </row>
    <row r="214" spans="1:12" x14ac:dyDescent="0.3">
      <c r="A214">
        <v>102</v>
      </c>
      <c r="B214" t="s">
        <v>517</v>
      </c>
      <c r="C214" s="6" t="s">
        <v>733</v>
      </c>
      <c r="D214" s="8">
        <v>11.5</v>
      </c>
      <c r="E214" s="85" t="s">
        <v>77</v>
      </c>
      <c r="F214" s="6">
        <v>10.9</v>
      </c>
      <c r="G214" s="7">
        <v>150</v>
      </c>
      <c r="H214" s="7">
        <v>3.2</v>
      </c>
      <c r="I214" s="7">
        <v>82.2</v>
      </c>
      <c r="J214" s="7"/>
      <c r="K214" s="8">
        <v>250</v>
      </c>
    </row>
    <row r="215" spans="1:12" x14ac:dyDescent="0.3">
      <c r="C215" s="6" t="s">
        <v>734</v>
      </c>
      <c r="D215" s="8"/>
      <c r="E215" s="85"/>
      <c r="F215" s="6"/>
      <c r="G215" s="7"/>
      <c r="H215" s="7"/>
      <c r="I215" s="7"/>
      <c r="J215" s="7"/>
      <c r="K215" s="8"/>
    </row>
    <row r="216" spans="1:12" x14ac:dyDescent="0.3">
      <c r="A216">
        <v>102</v>
      </c>
      <c r="B216" t="s">
        <v>517</v>
      </c>
      <c r="C216" s="6" t="s">
        <v>64</v>
      </c>
      <c r="D216" s="8">
        <v>0</v>
      </c>
      <c r="E216" s="85" t="s">
        <v>77</v>
      </c>
      <c r="F216" s="6"/>
      <c r="G216" s="7"/>
      <c r="H216" s="7"/>
      <c r="I216" s="7"/>
      <c r="J216" s="7"/>
      <c r="K216" s="8"/>
    </row>
    <row r="217" spans="1:12" x14ac:dyDescent="0.3">
      <c r="A217">
        <v>102</v>
      </c>
      <c r="B217" t="s">
        <v>517</v>
      </c>
      <c r="C217" s="6" t="s">
        <v>37</v>
      </c>
      <c r="D217" s="8">
        <v>0.2</v>
      </c>
      <c r="E217" s="85" t="s">
        <v>77</v>
      </c>
      <c r="F217" s="9">
        <v>0</v>
      </c>
      <c r="G217" s="15">
        <v>0</v>
      </c>
      <c r="H217" s="15">
        <v>5</v>
      </c>
      <c r="I217" s="15">
        <v>0</v>
      </c>
      <c r="J217" s="15"/>
      <c r="K217" s="11">
        <v>985</v>
      </c>
    </row>
    <row r="218" spans="1:12" x14ac:dyDescent="0.3">
      <c r="A218">
        <v>102</v>
      </c>
      <c r="B218" t="s">
        <v>517</v>
      </c>
      <c r="C218" s="9" t="s">
        <v>38</v>
      </c>
      <c r="D218" s="90">
        <v>28.5</v>
      </c>
      <c r="E218" s="85" t="s">
        <v>0</v>
      </c>
      <c r="L218" t="s">
        <v>300</v>
      </c>
    </row>
    <row r="219" spans="1:12" x14ac:dyDescent="0.3">
      <c r="A219">
        <v>103</v>
      </c>
      <c r="B219" t="s">
        <v>518</v>
      </c>
      <c r="C219" s="4" t="s">
        <v>737</v>
      </c>
      <c r="D219" s="5">
        <v>9</v>
      </c>
      <c r="E219" s="85" t="s">
        <v>77</v>
      </c>
      <c r="F219" s="4">
        <v>12.76</v>
      </c>
      <c r="G219" s="67">
        <v>121</v>
      </c>
      <c r="H219" s="67">
        <v>4.05</v>
      </c>
      <c r="I219" s="67">
        <v>95</v>
      </c>
      <c r="J219" s="67"/>
      <c r="K219" s="5">
        <v>860</v>
      </c>
      <c r="L219" t="s">
        <v>512</v>
      </c>
    </row>
    <row r="220" spans="1:12" x14ac:dyDescent="0.3">
      <c r="A220">
        <v>103</v>
      </c>
      <c r="B220" t="s">
        <v>518</v>
      </c>
      <c r="C220" s="6" t="s">
        <v>738</v>
      </c>
      <c r="D220" s="8">
        <v>1</v>
      </c>
      <c r="E220" s="85" t="s">
        <v>77</v>
      </c>
      <c r="F220" s="6">
        <v>11.41</v>
      </c>
      <c r="G220" s="7">
        <v>379</v>
      </c>
      <c r="H220" s="7">
        <v>13.2</v>
      </c>
      <c r="I220" s="7">
        <v>169</v>
      </c>
      <c r="J220" s="7"/>
      <c r="K220" s="8">
        <v>890</v>
      </c>
    </row>
    <row r="221" spans="1:12" x14ac:dyDescent="0.3">
      <c r="A221">
        <v>103</v>
      </c>
      <c r="B221" t="s">
        <v>518</v>
      </c>
      <c r="C221" s="6" t="s">
        <v>733</v>
      </c>
      <c r="D221" s="8">
        <v>9.9</v>
      </c>
      <c r="E221" s="85" t="s">
        <v>77</v>
      </c>
      <c r="F221" s="6">
        <v>10.9</v>
      </c>
      <c r="G221" s="7">
        <v>150</v>
      </c>
      <c r="H221" s="7">
        <v>3.2</v>
      </c>
      <c r="I221" s="7">
        <v>82.2</v>
      </c>
      <c r="J221" s="7"/>
      <c r="K221" s="8">
        <v>250</v>
      </c>
    </row>
    <row r="222" spans="1:12" x14ac:dyDescent="0.3">
      <c r="C222" s="6" t="s">
        <v>734</v>
      </c>
      <c r="D222" s="8"/>
      <c r="E222" s="85"/>
      <c r="F222" s="6"/>
      <c r="G222" s="7"/>
      <c r="H222" s="7"/>
      <c r="I222" s="7"/>
      <c r="J222" s="7"/>
      <c r="K222" s="8"/>
    </row>
    <row r="223" spans="1:12" x14ac:dyDescent="0.3">
      <c r="A223">
        <v>103</v>
      </c>
      <c r="B223" t="s">
        <v>518</v>
      </c>
      <c r="C223" s="6" t="s">
        <v>64</v>
      </c>
      <c r="D223" s="8">
        <v>0</v>
      </c>
      <c r="E223" s="85" t="s">
        <v>77</v>
      </c>
      <c r="F223" s="6"/>
      <c r="G223" s="7"/>
      <c r="H223" s="7"/>
      <c r="I223" s="7"/>
      <c r="J223" s="7"/>
      <c r="K223" s="8"/>
    </row>
    <row r="224" spans="1:12" x14ac:dyDescent="0.3">
      <c r="A224">
        <v>103</v>
      </c>
      <c r="B224" t="s">
        <v>518</v>
      </c>
      <c r="C224" s="6" t="s">
        <v>37</v>
      </c>
      <c r="D224" s="8">
        <v>0.2</v>
      </c>
      <c r="E224" s="85" t="s">
        <v>77</v>
      </c>
      <c r="F224" s="9">
        <v>0</v>
      </c>
      <c r="G224" s="15">
        <v>0</v>
      </c>
      <c r="H224" s="15">
        <v>5</v>
      </c>
      <c r="I224" s="15">
        <v>0</v>
      </c>
      <c r="J224" s="15"/>
      <c r="K224" s="11">
        <v>985</v>
      </c>
    </row>
    <row r="225" spans="1:12" x14ac:dyDescent="0.3">
      <c r="A225">
        <v>103</v>
      </c>
      <c r="B225" t="s">
        <v>518</v>
      </c>
      <c r="C225" s="9" t="s">
        <v>38</v>
      </c>
      <c r="D225" s="90">
        <v>29.3</v>
      </c>
      <c r="E225" s="85" t="s">
        <v>0</v>
      </c>
      <c r="L225" t="s">
        <v>300</v>
      </c>
    </row>
    <row r="226" spans="1:12" x14ac:dyDescent="0.3">
      <c r="A226">
        <v>104</v>
      </c>
      <c r="B226" t="s">
        <v>520</v>
      </c>
      <c r="C226" s="4" t="s">
        <v>737</v>
      </c>
      <c r="D226" s="5">
        <v>8.1999999999999993</v>
      </c>
      <c r="E226" s="85" t="s">
        <v>77</v>
      </c>
      <c r="F226" s="4">
        <v>12.76</v>
      </c>
      <c r="G226" s="67">
        <v>121</v>
      </c>
      <c r="H226" s="67">
        <v>4.05</v>
      </c>
      <c r="I226" s="67">
        <v>95</v>
      </c>
      <c r="J226" s="67"/>
      <c r="K226" s="5">
        <v>860</v>
      </c>
      <c r="L226" t="s">
        <v>512</v>
      </c>
    </row>
    <row r="227" spans="1:12" x14ac:dyDescent="0.3">
      <c r="A227">
        <v>104</v>
      </c>
      <c r="B227" t="s">
        <v>520</v>
      </c>
      <c r="C227" s="6" t="s">
        <v>738</v>
      </c>
      <c r="D227" s="8">
        <v>1.9</v>
      </c>
      <c r="E227" s="85" t="s">
        <v>77</v>
      </c>
      <c r="F227" s="6">
        <v>11.41</v>
      </c>
      <c r="G227" s="7">
        <v>379</v>
      </c>
      <c r="H227" s="7">
        <v>13.2</v>
      </c>
      <c r="I227" s="7">
        <v>169</v>
      </c>
      <c r="J227" s="7"/>
      <c r="K227" s="8">
        <v>890</v>
      </c>
    </row>
    <row r="228" spans="1:12" x14ac:dyDescent="0.3">
      <c r="A228">
        <v>104</v>
      </c>
      <c r="B228" t="s">
        <v>520</v>
      </c>
      <c r="C228" s="6" t="s">
        <v>733</v>
      </c>
      <c r="D228" s="8">
        <v>10.1</v>
      </c>
      <c r="E228" s="85" t="s">
        <v>77</v>
      </c>
      <c r="F228" s="6">
        <v>10.9</v>
      </c>
      <c r="G228" s="7">
        <v>150</v>
      </c>
      <c r="H228" s="7">
        <v>3.2</v>
      </c>
      <c r="I228" s="7">
        <v>82.2</v>
      </c>
      <c r="J228" s="7"/>
      <c r="K228" s="8">
        <v>250</v>
      </c>
    </row>
    <row r="229" spans="1:12" x14ac:dyDescent="0.3">
      <c r="C229" s="6" t="s">
        <v>734</v>
      </c>
      <c r="D229" s="8"/>
      <c r="E229" s="85"/>
      <c r="F229" s="6"/>
      <c r="G229" s="7"/>
      <c r="H229" s="7"/>
      <c r="I229" s="7"/>
      <c r="J229" s="7"/>
      <c r="K229" s="8"/>
    </row>
    <row r="230" spans="1:12" x14ac:dyDescent="0.3">
      <c r="A230">
        <v>104</v>
      </c>
      <c r="B230" t="s">
        <v>520</v>
      </c>
      <c r="C230" s="6" t="s">
        <v>64</v>
      </c>
      <c r="D230" s="8">
        <v>0</v>
      </c>
      <c r="E230" s="85" t="s">
        <v>77</v>
      </c>
      <c r="F230" s="6"/>
      <c r="G230" s="7"/>
      <c r="H230" s="7"/>
      <c r="I230" s="7"/>
      <c r="J230" s="7"/>
      <c r="K230" s="8"/>
    </row>
    <row r="231" spans="1:12" x14ac:dyDescent="0.3">
      <c r="A231">
        <v>104</v>
      </c>
      <c r="B231" t="s">
        <v>520</v>
      </c>
      <c r="C231" s="6" t="s">
        <v>37</v>
      </c>
      <c r="D231" s="8">
        <v>0.2</v>
      </c>
      <c r="E231" s="85" t="s">
        <v>77</v>
      </c>
      <c r="F231" s="9">
        <v>0</v>
      </c>
      <c r="G231" s="15">
        <v>0</v>
      </c>
      <c r="H231" s="15">
        <v>5</v>
      </c>
      <c r="I231" s="15">
        <v>0</v>
      </c>
      <c r="J231" s="15"/>
      <c r="K231" s="11">
        <v>985</v>
      </c>
    </row>
    <row r="232" spans="1:12" x14ac:dyDescent="0.3">
      <c r="A232">
        <v>104</v>
      </c>
      <c r="B232" t="s">
        <v>520</v>
      </c>
      <c r="C232" s="9" t="s">
        <v>38</v>
      </c>
      <c r="D232" s="90">
        <v>30</v>
      </c>
      <c r="E232" s="85" t="s">
        <v>0</v>
      </c>
      <c r="L232" t="s">
        <v>300</v>
      </c>
    </row>
    <row r="233" spans="1:12" x14ac:dyDescent="0.3">
      <c r="A233">
        <v>109</v>
      </c>
      <c r="B233" t="s">
        <v>522</v>
      </c>
      <c r="C233" s="4" t="s">
        <v>737</v>
      </c>
      <c r="D233" s="5">
        <v>8.1999999999999993</v>
      </c>
      <c r="E233" s="85" t="s">
        <v>77</v>
      </c>
      <c r="F233" s="4">
        <v>12.76</v>
      </c>
      <c r="G233" s="67">
        <v>121</v>
      </c>
      <c r="H233" s="67">
        <v>4.05</v>
      </c>
      <c r="I233" s="67">
        <v>95</v>
      </c>
      <c r="J233" s="67"/>
      <c r="K233" s="5">
        <v>860</v>
      </c>
    </row>
    <row r="234" spans="1:12" x14ac:dyDescent="0.3">
      <c r="A234">
        <v>109</v>
      </c>
      <c r="B234" t="s">
        <v>522</v>
      </c>
      <c r="C234" s="6" t="s">
        <v>738</v>
      </c>
      <c r="D234" s="8">
        <v>2</v>
      </c>
      <c r="E234" s="85" t="s">
        <v>77</v>
      </c>
      <c r="F234" s="6">
        <v>11.41</v>
      </c>
      <c r="G234" s="7">
        <v>379</v>
      </c>
      <c r="H234" s="7">
        <v>13.2</v>
      </c>
      <c r="I234" s="7">
        <v>169</v>
      </c>
      <c r="J234" s="7"/>
      <c r="K234" s="8">
        <v>890</v>
      </c>
    </row>
    <row r="235" spans="1:12" x14ac:dyDescent="0.3">
      <c r="A235">
        <v>109</v>
      </c>
      <c r="B235" t="s">
        <v>522</v>
      </c>
      <c r="C235" s="6" t="s">
        <v>733</v>
      </c>
      <c r="D235" s="8">
        <v>8</v>
      </c>
      <c r="E235" s="85" t="s">
        <v>77</v>
      </c>
      <c r="F235" s="6">
        <v>10.9</v>
      </c>
      <c r="G235" s="7">
        <v>150</v>
      </c>
      <c r="H235" s="7">
        <v>3.2</v>
      </c>
      <c r="I235" s="7">
        <v>82.2</v>
      </c>
      <c r="J235" s="7"/>
      <c r="K235" s="8">
        <v>250</v>
      </c>
    </row>
    <row r="236" spans="1:12" x14ac:dyDescent="0.3">
      <c r="C236" s="6" t="s">
        <v>734</v>
      </c>
      <c r="D236" s="8"/>
      <c r="E236" s="85"/>
      <c r="F236" s="6"/>
      <c r="G236" s="7"/>
      <c r="H236" s="7"/>
      <c r="I236" s="7"/>
      <c r="J236" s="7"/>
      <c r="K236" s="8"/>
    </row>
    <row r="237" spans="1:12" x14ac:dyDescent="0.3">
      <c r="A237">
        <v>109</v>
      </c>
      <c r="B237" t="s">
        <v>522</v>
      </c>
      <c r="C237" s="6" t="s">
        <v>64</v>
      </c>
      <c r="D237" s="8">
        <v>5</v>
      </c>
      <c r="E237" s="85" t="s">
        <v>77</v>
      </c>
      <c r="F237" s="6">
        <v>9.92</v>
      </c>
      <c r="G237" s="85">
        <v>110</v>
      </c>
      <c r="H237" s="85">
        <v>2.5</v>
      </c>
      <c r="I237" s="85">
        <v>76</v>
      </c>
      <c r="J237" s="85"/>
      <c r="K237" s="8">
        <v>350</v>
      </c>
    </row>
    <row r="238" spans="1:12" x14ac:dyDescent="0.3">
      <c r="A238">
        <v>109</v>
      </c>
      <c r="B238" t="s">
        <v>522</v>
      </c>
      <c r="C238" s="6" t="s">
        <v>37</v>
      </c>
      <c r="D238" s="8">
        <v>0.2</v>
      </c>
      <c r="E238" s="85" t="s">
        <v>77</v>
      </c>
      <c r="F238" s="9">
        <v>0</v>
      </c>
      <c r="G238" s="15">
        <v>0</v>
      </c>
      <c r="H238" s="15">
        <v>5</v>
      </c>
      <c r="I238" s="15">
        <v>0</v>
      </c>
      <c r="J238" s="15"/>
      <c r="K238" s="11">
        <v>985</v>
      </c>
    </row>
    <row r="239" spans="1:12" x14ac:dyDescent="0.3">
      <c r="A239">
        <v>109</v>
      </c>
      <c r="B239" t="s">
        <v>522</v>
      </c>
      <c r="C239" s="9" t="s">
        <v>38</v>
      </c>
      <c r="D239" s="90">
        <v>32.58</v>
      </c>
      <c r="E239" s="85" t="s">
        <v>0</v>
      </c>
    </row>
    <row r="240" spans="1:12" x14ac:dyDescent="0.3">
      <c r="A240">
        <v>110</v>
      </c>
      <c r="B240" t="s">
        <v>579</v>
      </c>
      <c r="C240" s="4" t="s">
        <v>737</v>
      </c>
      <c r="D240" s="5">
        <v>5</v>
      </c>
      <c r="E240" s="85" t="s">
        <v>77</v>
      </c>
      <c r="F240" s="4">
        <v>12.76</v>
      </c>
      <c r="G240" s="67">
        <v>121</v>
      </c>
      <c r="H240" s="67">
        <v>4.05</v>
      </c>
      <c r="I240" s="67">
        <v>95</v>
      </c>
      <c r="J240" s="67"/>
      <c r="K240" s="5">
        <v>860</v>
      </c>
      <c r="L240" t="s">
        <v>580</v>
      </c>
    </row>
    <row r="241" spans="1:11" x14ac:dyDescent="0.3">
      <c r="A241">
        <v>110</v>
      </c>
      <c r="B241" t="s">
        <v>579</v>
      </c>
      <c r="C241" s="6" t="s">
        <v>738</v>
      </c>
      <c r="D241" s="8">
        <v>2</v>
      </c>
      <c r="E241" s="85" t="s">
        <v>77</v>
      </c>
      <c r="F241" s="6">
        <v>11.41</v>
      </c>
      <c r="G241" s="7">
        <v>379</v>
      </c>
      <c r="H241" s="7">
        <v>13.2</v>
      </c>
      <c r="I241" s="7">
        <v>169</v>
      </c>
      <c r="J241" s="7"/>
      <c r="K241" s="8">
        <v>890</v>
      </c>
    </row>
    <row r="242" spans="1:11" x14ac:dyDescent="0.3">
      <c r="A242">
        <v>110</v>
      </c>
      <c r="B242" t="s">
        <v>579</v>
      </c>
      <c r="C242" s="6" t="s">
        <v>733</v>
      </c>
      <c r="D242" s="8">
        <v>13</v>
      </c>
      <c r="E242" s="85" t="s">
        <v>77</v>
      </c>
      <c r="F242" s="6">
        <v>10.9</v>
      </c>
      <c r="G242" s="7">
        <v>150</v>
      </c>
      <c r="H242" s="7">
        <v>3.2</v>
      </c>
      <c r="I242" s="7">
        <v>82.2</v>
      </c>
      <c r="J242" s="7"/>
      <c r="K242" s="8">
        <v>250</v>
      </c>
    </row>
    <row r="243" spans="1:11" x14ac:dyDescent="0.3">
      <c r="C243" s="6" t="s">
        <v>734</v>
      </c>
      <c r="D243" s="8"/>
      <c r="E243" s="85"/>
      <c r="F243" s="6"/>
      <c r="G243" s="7"/>
      <c r="H243" s="7"/>
      <c r="I243" s="7"/>
      <c r="J243" s="7"/>
      <c r="K243" s="8"/>
    </row>
    <row r="244" spans="1:11" x14ac:dyDescent="0.3">
      <c r="A244">
        <v>110</v>
      </c>
      <c r="B244" t="s">
        <v>579</v>
      </c>
      <c r="C244" s="6" t="s">
        <v>64</v>
      </c>
      <c r="D244" s="8">
        <v>0</v>
      </c>
      <c r="E244" s="85" t="s">
        <v>77</v>
      </c>
      <c r="F244" s="6">
        <v>9.92</v>
      </c>
      <c r="G244" s="85">
        <v>110</v>
      </c>
      <c r="H244" s="85">
        <v>2.5</v>
      </c>
      <c r="I244" s="85">
        <v>76</v>
      </c>
      <c r="J244" s="85"/>
      <c r="K244" s="8">
        <v>350</v>
      </c>
    </row>
    <row r="245" spans="1:11" x14ac:dyDescent="0.3">
      <c r="A245">
        <v>110</v>
      </c>
      <c r="B245" t="s">
        <v>579</v>
      </c>
      <c r="C245" s="6" t="s">
        <v>37</v>
      </c>
      <c r="D245" s="8">
        <v>0.2</v>
      </c>
      <c r="E245" s="85" t="s">
        <v>77</v>
      </c>
      <c r="F245" s="9">
        <v>0</v>
      </c>
      <c r="G245" s="15">
        <v>0</v>
      </c>
      <c r="H245" s="15">
        <v>5</v>
      </c>
      <c r="I245" s="15">
        <v>0</v>
      </c>
      <c r="J245" s="15"/>
      <c r="K245" s="11">
        <v>985</v>
      </c>
    </row>
    <row r="246" spans="1:11" x14ac:dyDescent="0.3">
      <c r="A246">
        <v>110</v>
      </c>
      <c r="B246" t="s">
        <v>579</v>
      </c>
      <c r="C246" s="9" t="s">
        <v>38</v>
      </c>
      <c r="D246" s="90">
        <v>30</v>
      </c>
      <c r="E246" s="85" t="s">
        <v>0</v>
      </c>
    </row>
  </sheetData>
  <autoFilter ref="A49:L246"/>
  <pageMargins left="0.7" right="0.7" top="0.75" bottom="0.75" header="0.3" footer="0.3"/>
  <pageSetup paperSize="9" orientation="portrait" horizontalDpi="300" verticalDpi="300"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ul4"/>
  <dimension ref="A1:Y52"/>
  <sheetViews>
    <sheetView workbookViewId="0">
      <selection activeCell="I7" sqref="I7"/>
    </sheetView>
  </sheetViews>
  <sheetFormatPr defaultRowHeight="14.4" x14ac:dyDescent="0.3"/>
  <cols>
    <col min="1" max="1" width="6.109375" customWidth="1"/>
    <col min="2" max="2" width="22.5546875" customWidth="1"/>
    <col min="3" max="3" width="22.6640625" customWidth="1"/>
    <col min="5" max="5" width="12.5546875" customWidth="1"/>
    <col min="6" max="6" width="10.33203125" customWidth="1"/>
    <col min="7" max="7" width="12" customWidth="1"/>
    <col min="8" max="8" width="11.44140625" customWidth="1"/>
    <col min="9" max="9" width="9.6640625" customWidth="1"/>
    <col min="10" max="10" width="9.77734375" customWidth="1"/>
    <col min="11" max="15" width="9.109375" customWidth="1"/>
    <col min="16" max="16" width="11.33203125" customWidth="1"/>
    <col min="17" max="17" width="3.33203125" customWidth="1"/>
    <col min="18" max="18" width="10.44140625" customWidth="1"/>
    <col min="19" max="19" width="10" customWidth="1"/>
  </cols>
  <sheetData>
    <row r="1" spans="1:25" x14ac:dyDescent="0.3">
      <c r="R1">
        <v>0</v>
      </c>
      <c r="S1">
        <v>25</v>
      </c>
      <c r="T1">
        <v>50</v>
      </c>
      <c r="U1">
        <v>75</v>
      </c>
      <c r="V1">
        <v>100</v>
      </c>
      <c r="W1">
        <v>125</v>
      </c>
      <c r="X1">
        <v>150</v>
      </c>
    </row>
    <row r="2" spans="1:25" x14ac:dyDescent="0.3">
      <c r="F2" s="326" t="s">
        <v>369</v>
      </c>
      <c r="G2" s="326"/>
      <c r="H2" s="326"/>
      <c r="I2" s="326"/>
      <c r="J2" s="326"/>
      <c r="K2" s="326"/>
      <c r="R2">
        <v>0</v>
      </c>
      <c r="S2">
        <v>0.7</v>
      </c>
      <c r="T2">
        <f>S2+0.7</f>
        <v>1.4</v>
      </c>
      <c r="U2">
        <f t="shared" ref="U2:X2" si="0">T2+0.7</f>
        <v>2.0999999999999996</v>
      </c>
      <c r="V2">
        <f t="shared" si="0"/>
        <v>2.8</v>
      </c>
      <c r="W2">
        <f t="shared" si="0"/>
        <v>3.5</v>
      </c>
      <c r="X2">
        <f t="shared" si="0"/>
        <v>4.2</v>
      </c>
      <c r="Y2">
        <f>X2*0.87</f>
        <v>3.6539999999999999</v>
      </c>
    </row>
    <row r="3" spans="1:25" ht="15" thickBot="1" x14ac:dyDescent="0.35">
      <c r="A3" t="s">
        <v>368</v>
      </c>
      <c r="B3" s="32" t="s">
        <v>39</v>
      </c>
      <c r="C3" s="12" t="s">
        <v>46</v>
      </c>
      <c r="F3" s="7" t="s">
        <v>50</v>
      </c>
      <c r="G3" s="7" t="s">
        <v>65</v>
      </c>
      <c r="H3" s="85" t="s">
        <v>367</v>
      </c>
      <c r="I3" s="85" t="s">
        <v>299</v>
      </c>
      <c r="J3" s="85" t="s">
        <v>605</v>
      </c>
      <c r="K3" s="7" t="s">
        <v>67</v>
      </c>
      <c r="L3" s="15" t="s">
        <v>317</v>
      </c>
      <c r="N3" t="s">
        <v>445</v>
      </c>
    </row>
    <row r="4" spans="1:25" x14ac:dyDescent="0.3">
      <c r="A4" s="22">
        <v>0</v>
      </c>
      <c r="B4" s="70" t="s">
        <v>740</v>
      </c>
      <c r="C4" s="71" t="s">
        <v>737</v>
      </c>
      <c r="D4" s="72">
        <v>6.4</v>
      </c>
      <c r="E4" s="70" t="s">
        <v>77</v>
      </c>
      <c r="F4" s="243">
        <v>12.76</v>
      </c>
      <c r="G4" s="244">
        <v>121</v>
      </c>
      <c r="H4" s="244">
        <v>3.6</v>
      </c>
      <c r="I4" s="244">
        <v>94</v>
      </c>
      <c r="J4" s="245">
        <v>5</v>
      </c>
      <c r="K4" s="246">
        <v>860</v>
      </c>
      <c r="L4" s="70"/>
      <c r="N4">
        <f>(D4*G4+D5*G5)/(D4+D5)</f>
        <v>195.53333333333336</v>
      </c>
    </row>
    <row r="5" spans="1:25" x14ac:dyDescent="0.3">
      <c r="A5" s="22">
        <v>0</v>
      </c>
      <c r="B5" s="70" t="s">
        <v>740</v>
      </c>
      <c r="C5" s="73" t="s">
        <v>738</v>
      </c>
      <c r="D5" s="74">
        <v>2.6</v>
      </c>
      <c r="E5" s="70" t="s">
        <v>77</v>
      </c>
      <c r="F5" s="247">
        <v>11.41</v>
      </c>
      <c r="G5" s="248">
        <v>379</v>
      </c>
      <c r="H5" s="248">
        <v>13.2</v>
      </c>
      <c r="I5" s="248">
        <v>169</v>
      </c>
      <c r="J5" s="113">
        <v>15</v>
      </c>
      <c r="K5" s="249">
        <v>890</v>
      </c>
      <c r="L5" s="70"/>
    </row>
    <row r="6" spans="1:25" x14ac:dyDescent="0.3">
      <c r="A6" s="22">
        <v>0</v>
      </c>
      <c r="B6" s="70" t="s">
        <v>740</v>
      </c>
      <c r="C6" s="73" t="s">
        <v>733</v>
      </c>
      <c r="D6" s="74">
        <v>10.4</v>
      </c>
      <c r="E6" s="70" t="s">
        <v>77</v>
      </c>
      <c r="F6" s="247">
        <v>10.96</v>
      </c>
      <c r="G6" s="248">
        <v>148</v>
      </c>
      <c r="H6" s="248">
        <v>2.9</v>
      </c>
      <c r="I6" s="248">
        <v>82</v>
      </c>
      <c r="J6" s="113">
        <v>28</v>
      </c>
      <c r="K6" s="249">
        <v>270</v>
      </c>
      <c r="L6" s="70" t="s">
        <v>735</v>
      </c>
    </row>
    <row r="7" spans="1:25" x14ac:dyDescent="0.3">
      <c r="A7" s="22">
        <v>0</v>
      </c>
      <c r="B7" s="70" t="s">
        <v>740</v>
      </c>
      <c r="C7" s="73" t="s">
        <v>734</v>
      </c>
      <c r="D7" s="74" t="s">
        <v>745</v>
      </c>
      <c r="E7" s="70" t="s">
        <v>77</v>
      </c>
      <c r="F7" s="247">
        <v>10.1</v>
      </c>
      <c r="G7" s="248">
        <v>140</v>
      </c>
      <c r="H7" s="248">
        <v>2.9</v>
      </c>
      <c r="I7" s="248">
        <v>79</v>
      </c>
      <c r="J7" s="113">
        <v>25</v>
      </c>
      <c r="K7" s="249">
        <v>300</v>
      </c>
      <c r="L7" s="70" t="s">
        <v>746</v>
      </c>
    </row>
    <row r="8" spans="1:25" x14ac:dyDescent="0.3">
      <c r="A8" s="22">
        <v>0</v>
      </c>
      <c r="B8" s="70" t="s">
        <v>740</v>
      </c>
      <c r="C8" s="237" t="s">
        <v>64</v>
      </c>
      <c r="D8" s="74">
        <v>0</v>
      </c>
      <c r="E8" s="70" t="s">
        <v>77</v>
      </c>
      <c r="F8" s="247">
        <v>10.24</v>
      </c>
      <c r="G8" s="248">
        <v>100</v>
      </c>
      <c r="H8" s="248">
        <v>2.5</v>
      </c>
      <c r="I8" s="248">
        <v>76</v>
      </c>
      <c r="J8" s="113">
        <v>14</v>
      </c>
      <c r="K8" s="249">
        <v>350</v>
      </c>
      <c r="L8" s="70" t="s">
        <v>739</v>
      </c>
    </row>
    <row r="9" spans="1:25" x14ac:dyDescent="0.3">
      <c r="A9" s="22">
        <v>0</v>
      </c>
      <c r="B9" s="70" t="s">
        <v>740</v>
      </c>
      <c r="C9" s="73" t="s">
        <v>37</v>
      </c>
      <c r="D9" s="74">
        <v>0.2</v>
      </c>
      <c r="E9" s="70" t="s">
        <v>77</v>
      </c>
      <c r="F9" s="247">
        <v>0</v>
      </c>
      <c r="G9" s="248">
        <v>0</v>
      </c>
      <c r="H9" s="248">
        <v>5</v>
      </c>
      <c r="I9" s="248">
        <v>0</v>
      </c>
      <c r="J9" s="113">
        <v>0</v>
      </c>
      <c r="K9" s="249">
        <v>985</v>
      </c>
      <c r="L9" s="70"/>
    </row>
    <row r="10" spans="1:25" x14ac:dyDescent="0.3">
      <c r="A10" s="22">
        <v>0</v>
      </c>
      <c r="B10" s="70" t="s">
        <v>740</v>
      </c>
      <c r="C10" s="75" t="s">
        <v>38</v>
      </c>
      <c r="D10" s="76">
        <v>28.4</v>
      </c>
      <c r="E10" s="70" t="s">
        <v>0</v>
      </c>
      <c r="F10" s="247"/>
      <c r="G10" s="248"/>
      <c r="H10" s="114"/>
      <c r="I10" s="113"/>
      <c r="J10" s="113"/>
      <c r="K10" s="249"/>
      <c r="L10" s="238"/>
      <c r="O10" s="327" t="s">
        <v>753</v>
      </c>
      <c r="P10" s="327"/>
      <c r="Q10" s="327"/>
      <c r="R10" s="327"/>
      <c r="S10" s="327"/>
      <c r="T10" s="327"/>
    </row>
    <row r="11" spans="1:25" x14ac:dyDescent="0.3">
      <c r="B11" s="64" t="s">
        <v>206</v>
      </c>
      <c r="C11" s="59" t="s">
        <v>197</v>
      </c>
      <c r="D11" s="5">
        <f>SUM(D4:D9)</f>
        <v>19.599999999999998</v>
      </c>
      <c r="F11" s="262">
        <f>$D$4/$D$11*F4+$D$5/$D$11*F5+$D$6/$D$11*F6+$D$8/$D$11*F8+$D$9/$D$11*F9</f>
        <v>11.495612244897959</v>
      </c>
      <c r="G11" s="242">
        <f>($D$4/$D$11*G4)+($D$5/$D$11*G5)+($D$6/$D$11*G6)+($D$8/$D$11*G8)+($D$9/$D$11*G9)</f>
        <v>168.31632653061226</v>
      </c>
      <c r="H11" s="242">
        <f>$D$4/$D$11*H4+$D$5/$D$11*H5+$D$6/$D$11*H6+$D$8/$D$11*H8+$D$9/$D$11*H9</f>
        <v>4.5163265306122451</v>
      </c>
      <c r="I11" s="242">
        <f>$D$4/$D$11*I4+$D$5/$D$11*I5+$D$6/$D$11*I6+$D$8/$D$11*I8+$D$9/$D$11*I9</f>
        <v>96.622448979591837</v>
      </c>
      <c r="J11" s="242">
        <f>$D$4/$D$11*J4+$D$5/$D$11*J5+$D$6/$D$11*J6+$D$8/$D$11*J8+$D$9/$D$11*J9</f>
        <v>18.479591836734695</v>
      </c>
      <c r="K11" s="250"/>
      <c r="L11" s="200" t="s">
        <v>742</v>
      </c>
      <c r="M11" s="253"/>
      <c r="N11" s="254"/>
      <c r="O11" s="4" t="s">
        <v>238</v>
      </c>
      <c r="P11" s="67" t="s">
        <v>106</v>
      </c>
      <c r="Q11" s="67"/>
      <c r="R11" s="67" t="s">
        <v>747</v>
      </c>
      <c r="S11" s="67" t="s">
        <v>247</v>
      </c>
      <c r="T11" s="5" t="s">
        <v>381</v>
      </c>
      <c r="U11" t="s">
        <v>749</v>
      </c>
      <c r="V11" t="s">
        <v>748</v>
      </c>
      <c r="W11" t="s">
        <v>750</v>
      </c>
    </row>
    <row r="12" spans="1:25" x14ac:dyDescent="0.3">
      <c r="B12" s="64" t="s">
        <v>206</v>
      </c>
      <c r="C12" s="29" t="s">
        <v>198</v>
      </c>
      <c r="D12" s="63">
        <f>D4/D11*G4+D5/D11*G5+D6/D11*G6+D8/D11*G8+D9/D11*G9</f>
        <v>168.31632653061226</v>
      </c>
      <c r="F12" s="263">
        <f>O12*F7+P12*F8+R12*F4+S12*F5+T12*F9</f>
        <v>10.148288571188033</v>
      </c>
      <c r="G12" s="242">
        <f>O12*G7+P12*G8+R12*G4+S12*G5+T12*G9</f>
        <v>137.11833952633822</v>
      </c>
      <c r="H12" s="242">
        <f>O12*H7+P12*H8+R12*H4+S12*H5+W12*H9</f>
        <v>7.9986469461296963</v>
      </c>
      <c r="I12" s="242">
        <f>O12*I7+P12*I8+R12*I4+S12*I5+T12*I9</f>
        <v>79.769779958292972</v>
      </c>
      <c r="J12" s="242">
        <f>O12*J7+P12*J8+R12*J4+S12*J5+T12*J9</f>
        <v>22.698283886765623</v>
      </c>
      <c r="K12" s="251"/>
      <c r="L12" s="259" t="s">
        <v>751</v>
      </c>
      <c r="M12" s="257"/>
      <c r="N12" s="258"/>
      <c r="O12" s="264">
        <f>(1-U12)*V12</f>
        <v>0.83898194379627045</v>
      </c>
      <c r="P12" s="265">
        <f>U12*V12</f>
        <v>9.3220215977363394E-2</v>
      </c>
      <c r="Q12" s="266"/>
      <c r="R12" s="265">
        <f>J41-0.02</f>
        <v>4.4831533521971723E-2</v>
      </c>
      <c r="S12" s="265">
        <f>J42</f>
        <v>1.2966306704394345E-2</v>
      </c>
      <c r="T12" s="228">
        <v>0.01</v>
      </c>
      <c r="U12">
        <f>Lähtötiedot!D39</f>
        <v>0.1</v>
      </c>
      <c r="V12" s="49">
        <f>1-R12-S12-T12</f>
        <v>0.93220215977363385</v>
      </c>
      <c r="W12" s="49">
        <f>SUM(O12:T12)</f>
        <v>1</v>
      </c>
    </row>
    <row r="13" spans="1:25" ht="15" thickBot="1" x14ac:dyDescent="0.35">
      <c r="B13" s="64" t="s">
        <v>206</v>
      </c>
      <c r="C13" s="61" t="s">
        <v>199</v>
      </c>
      <c r="D13" s="62">
        <f>(D11*D12)*0.16</f>
        <v>527.84</v>
      </c>
      <c r="F13" s="260">
        <f>O13*F7+P13*F8+R13*F4+S13*F5+T13*F9</f>
        <v>10.197539999999996</v>
      </c>
      <c r="G13" s="261">
        <f>O13*G7+P13*G8+R13*G4+S13*G5*T13*G9</f>
        <v>131.01999999999998</v>
      </c>
      <c r="H13" s="261">
        <f>O13*H7+P13*H8+R13*H4+S13*H5+T13*H9</f>
        <v>3.1326000000000001</v>
      </c>
      <c r="I13" s="261">
        <f>O13*I7+P13*I8+R13*I4+S13*I5+T13*I9</f>
        <v>80.636999999999986</v>
      </c>
      <c r="J13" s="261">
        <f>O13*J7+P13*J8+R13*J4+S13*J5+T13*J9</f>
        <v>22.349</v>
      </c>
      <c r="K13" s="252"/>
      <c r="L13" s="259" t="s">
        <v>752</v>
      </c>
      <c r="M13" s="255"/>
      <c r="N13" s="256"/>
      <c r="O13" s="267">
        <f>(1-U13)*V13</f>
        <v>0.81899999999999995</v>
      </c>
      <c r="P13" s="268">
        <f>U13*V13</f>
        <v>9.0999999999999998E-2</v>
      </c>
      <c r="Q13" s="149"/>
      <c r="R13" s="268">
        <v>0.06</v>
      </c>
      <c r="S13" s="268">
        <v>0.02</v>
      </c>
      <c r="T13" s="256">
        <v>0.01</v>
      </c>
      <c r="U13">
        <f>Lähtötiedot!D38</f>
        <v>0.1</v>
      </c>
      <c r="V13">
        <f>1-R13-S13-T13</f>
        <v>0.90999999999999992</v>
      </c>
      <c r="W13" s="49">
        <f>SUM(O13:T13)</f>
        <v>1</v>
      </c>
    </row>
    <row r="14" spans="1:25" x14ac:dyDescent="0.3">
      <c r="B14" s="64" t="s">
        <v>70</v>
      </c>
      <c r="C14" s="59" t="s">
        <v>197</v>
      </c>
      <c r="D14" s="65">
        <f>D34</f>
        <v>9.6289513324843643</v>
      </c>
      <c r="G14" s="3"/>
    </row>
    <row r="15" spans="1:25" x14ac:dyDescent="0.3">
      <c r="B15" s="64" t="s">
        <v>70</v>
      </c>
      <c r="C15" s="29" t="s">
        <v>198</v>
      </c>
      <c r="D15" s="239">
        <f>G12</f>
        <v>137.11833952633822</v>
      </c>
      <c r="F15" s="241" t="str">
        <f>IF(Lähtötiedot!D39&gt;0,"TARKISTA ONKO STRATEGIASSA OIKEASTI KOKOVILJAA","")</f>
        <v>TARKISTA ONKO STRATEGIASSA OIKEASTI KOKOVILJAA</v>
      </c>
      <c r="G15" s="3"/>
    </row>
    <row r="16" spans="1:25" x14ac:dyDescent="0.3">
      <c r="B16" s="64" t="s">
        <v>70</v>
      </c>
      <c r="C16" s="61" t="s">
        <v>199</v>
      </c>
      <c r="D16" s="62">
        <f>D15*D14*0.16</f>
        <v>211.24893089442844</v>
      </c>
      <c r="F16" s="2" t="s">
        <v>316</v>
      </c>
      <c r="G16" s="3"/>
    </row>
    <row r="17" spans="2:25" x14ac:dyDescent="0.3">
      <c r="B17" s="64" t="s">
        <v>208</v>
      </c>
      <c r="C17" s="59" t="s">
        <v>197</v>
      </c>
      <c r="D17" s="65">
        <f>D39</f>
        <v>6.2616822429906547</v>
      </c>
      <c r="F17" s="2" t="s">
        <v>724</v>
      </c>
      <c r="G17" s="3"/>
      <c r="S17">
        <f>R24/S24</f>
        <v>0.14000000000000001</v>
      </c>
    </row>
    <row r="18" spans="2:25" x14ac:dyDescent="0.3">
      <c r="B18" s="64" t="s">
        <v>208</v>
      </c>
      <c r="C18" s="29" t="s">
        <v>198</v>
      </c>
      <c r="D18" s="60">
        <f>G12</f>
        <v>137.11833952633822</v>
      </c>
      <c r="G18" s="3"/>
      <c r="S18">
        <f>R25/S25</f>
        <v>0.14000000000000001</v>
      </c>
    </row>
    <row r="19" spans="2:25" x14ac:dyDescent="0.3">
      <c r="B19" s="64" t="s">
        <v>208</v>
      </c>
      <c r="C19" s="61" t="s">
        <v>199</v>
      </c>
      <c r="D19" s="62">
        <f>D18*D17*0.16</f>
        <v>137.37463548806971</v>
      </c>
      <c r="G19" t="s">
        <v>505</v>
      </c>
      <c r="S19">
        <f>R26/S26</f>
        <v>0.14000000000000001</v>
      </c>
      <c r="X19">
        <v>55</v>
      </c>
      <c r="Y19">
        <v>55</v>
      </c>
    </row>
    <row r="20" spans="2:25" x14ac:dyDescent="0.3">
      <c r="B20" s="31"/>
      <c r="C20" s="7"/>
      <c r="D20" s="7"/>
      <c r="G20" t="s">
        <v>593</v>
      </c>
      <c r="P20">
        <v>521</v>
      </c>
      <c r="X20">
        <f>0.3*X19</f>
        <v>16.5</v>
      </c>
      <c r="Y20">
        <f>0.78*Y19</f>
        <v>42.9</v>
      </c>
    </row>
    <row r="21" spans="2:25" x14ac:dyDescent="0.3">
      <c r="X21">
        <f>X19-X20</f>
        <v>38.5</v>
      </c>
      <c r="Y21">
        <f>Y19-Y20</f>
        <v>12.100000000000001</v>
      </c>
    </row>
    <row r="22" spans="2:25" x14ac:dyDescent="0.3">
      <c r="C22" s="4" t="s">
        <v>40</v>
      </c>
      <c r="D22" s="195">
        <f>Lähtötiedot!D5</f>
        <v>100</v>
      </c>
      <c r="E22" s="5" t="s">
        <v>30</v>
      </c>
      <c r="H22" t="s">
        <v>73</v>
      </c>
      <c r="J22" s="25" t="s">
        <v>75</v>
      </c>
      <c r="K22" t="s">
        <v>77</v>
      </c>
      <c r="L22" t="s">
        <v>77</v>
      </c>
      <c r="M22" t="s">
        <v>77</v>
      </c>
      <c r="N22" s="4" t="s">
        <v>31</v>
      </c>
      <c r="O22" s="5" t="s">
        <v>77</v>
      </c>
      <c r="P22" s="25" t="s">
        <v>77</v>
      </c>
      <c r="R22" t="s">
        <v>86</v>
      </c>
      <c r="S22" t="s">
        <v>90</v>
      </c>
      <c r="U22" t="s">
        <v>503</v>
      </c>
    </row>
    <row r="23" spans="2:25" x14ac:dyDescent="0.3">
      <c r="C23" s="6" t="s">
        <v>41</v>
      </c>
      <c r="D23" s="38">
        <f>Lähtötiedot!D6</f>
        <v>0.35</v>
      </c>
      <c r="E23" s="8" t="s">
        <v>31</v>
      </c>
      <c r="G23" s="16" t="s">
        <v>410</v>
      </c>
      <c r="H23" s="15" t="s">
        <v>74</v>
      </c>
      <c r="I23" s="15" t="s">
        <v>168</v>
      </c>
      <c r="J23" s="15" t="s">
        <v>76</v>
      </c>
      <c r="K23" s="15" t="s">
        <v>34</v>
      </c>
      <c r="L23" s="15" t="s">
        <v>78</v>
      </c>
      <c r="M23" s="15" t="s">
        <v>107</v>
      </c>
      <c r="N23" s="9" t="s">
        <v>106</v>
      </c>
      <c r="O23" s="11" t="s">
        <v>64</v>
      </c>
      <c r="P23" s="15" t="s">
        <v>36</v>
      </c>
      <c r="Q23" s="15"/>
      <c r="R23" s="15" t="s">
        <v>88</v>
      </c>
      <c r="S23" s="15" t="s">
        <v>88</v>
      </c>
      <c r="U23" s="15" t="s">
        <v>990</v>
      </c>
    </row>
    <row r="24" spans="2:25" x14ac:dyDescent="0.3">
      <c r="C24" s="6" t="s">
        <v>599</v>
      </c>
      <c r="D24" s="38">
        <f>D22*D23</f>
        <v>35</v>
      </c>
      <c r="E24" s="8" t="s">
        <v>42</v>
      </c>
      <c r="G24" t="s">
        <v>68</v>
      </c>
      <c r="H24" s="13">
        <f>SUM(D4:D9)*Lähtötiedot!D8</f>
        <v>6293.5599999999995</v>
      </c>
      <c r="I24" s="52">
        <f>(D4+D5+D9)/D11</f>
        <v>0.46938775510204084</v>
      </c>
      <c r="J24" s="13">
        <f>(D4+D5+D9)*Lähtötiedot!D8</f>
        <v>2954.12</v>
      </c>
      <c r="K24" s="13">
        <f>D4*Lähtötiedot!D8</f>
        <v>2055.0400000000004</v>
      </c>
      <c r="L24" s="13">
        <f>D5*Lähtötiedot!D8</f>
        <v>834.86000000000013</v>
      </c>
      <c r="M24" s="13">
        <f>(D6+D8)*Lähtötiedot!D8</f>
        <v>3339.4400000000005</v>
      </c>
      <c r="N24" s="184">
        <f>D8/(D6+D8)</f>
        <v>0</v>
      </c>
      <c r="O24" s="185">
        <f>D8*Lähtötiedot!D8</f>
        <v>0</v>
      </c>
      <c r="P24" s="44">
        <f>D6*Lähtötiedot!D8</f>
        <v>3339.4400000000005</v>
      </c>
      <c r="Q24" s="14"/>
      <c r="R24" s="13">
        <f>IF(N24=0,Sulamaton_Diet*H24,Funktiot!C5*H24)</f>
        <v>1749.60968</v>
      </c>
      <c r="S24" s="13">
        <f>R24/Ka_So</f>
        <v>12497.212</v>
      </c>
      <c r="T24" s="3"/>
    </row>
    <row r="25" spans="2:25" x14ac:dyDescent="0.3">
      <c r="C25" s="6" t="s">
        <v>43</v>
      </c>
      <c r="D25" s="38">
        <f>Lähtötiedot!D7</f>
        <v>2.2000000000000002</v>
      </c>
      <c r="E25" s="8" t="s">
        <v>44</v>
      </c>
      <c r="G25" t="s">
        <v>69</v>
      </c>
      <c r="H25" s="13">
        <f>D34*Lähtötiedot!D9</f>
        <v>422.71096349606336</v>
      </c>
      <c r="I25" s="33">
        <f>J41</f>
        <v>6.4831533521971726E-2</v>
      </c>
      <c r="J25" s="13">
        <f>I25*H25</f>
        <v>27.404999999999998</v>
      </c>
      <c r="K25" s="13">
        <f>0.8*J25</f>
        <v>21.923999999999999</v>
      </c>
      <c r="L25" s="13">
        <f>0.2*J25</f>
        <v>5.4809999999999999</v>
      </c>
      <c r="M25" s="13">
        <f t="shared" ref="M25" si="1">(1-I25)*H25</f>
        <v>395.30596349606338</v>
      </c>
      <c r="N25" s="184">
        <f>(Lähtötiedot!D39)</f>
        <v>0.1</v>
      </c>
      <c r="O25" s="185">
        <f>N25*M25</f>
        <v>39.530596349606341</v>
      </c>
      <c r="P25" s="44">
        <f>M25-O25</f>
        <v>355.77536714645703</v>
      </c>
      <c r="R25" s="13">
        <f>Funktiot!C6*H25</f>
        <v>131.04039868377967</v>
      </c>
      <c r="S25" s="13">
        <f>R25/Ka_So</f>
        <v>936.00284774128329</v>
      </c>
      <c r="T25" s="270" t="s">
        <v>760</v>
      </c>
    </row>
    <row r="26" spans="2:25" x14ac:dyDescent="0.3">
      <c r="C26" s="6" t="s">
        <v>45</v>
      </c>
      <c r="D26" s="38">
        <f>D24*D25</f>
        <v>77</v>
      </c>
      <c r="E26" s="8" t="s">
        <v>30</v>
      </c>
      <c r="G26" t="s">
        <v>809</v>
      </c>
      <c r="H26" s="13">
        <f>D39*365</f>
        <v>2285.5140186915892</v>
      </c>
      <c r="I26" s="52">
        <f>Lähtötiedot!D15/100</f>
        <v>0.15</v>
      </c>
      <c r="J26" s="13">
        <f>I26*H26</f>
        <v>342.82710280373834</v>
      </c>
      <c r="K26" s="13">
        <f>0.9*J26</f>
        <v>308.54439252336454</v>
      </c>
      <c r="L26" s="13">
        <f>0.1*J26</f>
        <v>34.282710280373834</v>
      </c>
      <c r="M26" s="13">
        <f>H26-J26</f>
        <v>1942.6869158878508</v>
      </c>
      <c r="N26" s="184">
        <f>Lähtötiedot!D38</f>
        <v>0.1</v>
      </c>
      <c r="O26" s="185">
        <f>N26*M26</f>
        <v>194.26869158878509</v>
      </c>
      <c r="P26" s="44">
        <f>M26-O26</f>
        <v>1748.4182242990657</v>
      </c>
      <c r="Q26" s="14"/>
      <c r="R26" s="13">
        <f>Funktiot!C7*H26</f>
        <v>635.37289719626187</v>
      </c>
      <c r="S26" s="13">
        <f>R26/Ka_So</f>
        <v>4538.3778371161561</v>
      </c>
      <c r="T26" s="3" t="s">
        <v>760</v>
      </c>
      <c r="U26" s="3">
        <f>Lähtötiedot!D20*60</f>
        <v>60</v>
      </c>
    </row>
    <row r="27" spans="2:25" x14ac:dyDescent="0.3">
      <c r="C27" s="29" t="s">
        <v>584</v>
      </c>
      <c r="D27" s="196">
        <f>RavinnetaseN!S110*D26</f>
        <v>71.166666666666657</v>
      </c>
      <c r="E27" s="30" t="s">
        <v>30</v>
      </c>
      <c r="H27" s="14"/>
      <c r="I27" s="14"/>
      <c r="J27" s="14"/>
      <c r="K27" s="14"/>
      <c r="L27" s="14"/>
      <c r="M27" s="14"/>
      <c r="N27" s="97"/>
      <c r="O27" s="98"/>
      <c r="P27" s="14"/>
      <c r="Q27" s="14"/>
      <c r="R27" s="14"/>
      <c r="S27" s="14"/>
    </row>
    <row r="28" spans="2:25" x14ac:dyDescent="0.3">
      <c r="C28" s="29" t="s">
        <v>672</v>
      </c>
      <c r="D28" s="49">
        <f>D27/D22</f>
        <v>0.71166666666666656</v>
      </c>
      <c r="E28" s="30" t="s">
        <v>31</v>
      </c>
      <c r="G28" s="16" t="s">
        <v>553</v>
      </c>
      <c r="H28" s="17" t="s">
        <v>89</v>
      </c>
      <c r="I28" s="17"/>
      <c r="J28" s="17" t="s">
        <v>89</v>
      </c>
      <c r="K28" s="17" t="s">
        <v>89</v>
      </c>
      <c r="L28" s="17" t="s">
        <v>89</v>
      </c>
      <c r="M28" s="17"/>
      <c r="N28" s="162"/>
      <c r="O28" s="163"/>
      <c r="P28" s="17" t="s">
        <v>287</v>
      </c>
      <c r="Q28" s="17"/>
      <c r="R28" s="17" t="s">
        <v>287</v>
      </c>
      <c r="S28" s="17" t="s">
        <v>89</v>
      </c>
    </row>
    <row r="29" spans="2:25" x14ac:dyDescent="0.3">
      <c r="C29" s="6" t="s">
        <v>866</v>
      </c>
      <c r="D29" s="38">
        <f>D26/D22</f>
        <v>0.77</v>
      </c>
      <c r="E29" s="8" t="s">
        <v>31</v>
      </c>
      <c r="G29" t="s">
        <v>79</v>
      </c>
      <c r="H29" s="35">
        <f>H24*$D$22/1000</f>
        <v>629.35599999999999</v>
      </c>
      <c r="I29" s="13"/>
      <c r="J29" s="33">
        <f>J24*$D$22/1000</f>
        <v>295.41199999999998</v>
      </c>
      <c r="K29" s="35">
        <f>K24*$D$22/1000</f>
        <v>205.50400000000002</v>
      </c>
      <c r="L29" s="33">
        <f>L24*$D$22/1000</f>
        <v>83.486000000000018</v>
      </c>
      <c r="M29" s="35">
        <f>M24*D22/1000</f>
        <v>333.94400000000007</v>
      </c>
      <c r="N29" s="186"/>
      <c r="O29" s="187">
        <f>O24*D22/1000</f>
        <v>0</v>
      </c>
      <c r="P29" s="35">
        <f>P24*D22/1000</f>
        <v>333.94400000000007</v>
      </c>
      <c r="Q29" s="13"/>
      <c r="R29" s="35">
        <f>R24*$D$22/1000</f>
        <v>174.96096799999998</v>
      </c>
      <c r="S29" s="35">
        <f>R29/Ka_So</f>
        <v>1249.7211999999997</v>
      </c>
    </row>
    <row r="30" spans="2:25" x14ac:dyDescent="0.3">
      <c r="C30" s="6" t="s">
        <v>47</v>
      </c>
      <c r="D30" s="39">
        <f>D10*Lähtötiedot!D8</f>
        <v>9119.24</v>
      </c>
      <c r="E30" s="8" t="s">
        <v>48</v>
      </c>
      <c r="G30" t="s">
        <v>69</v>
      </c>
      <c r="H30" s="35">
        <f>H25*D22/1000</f>
        <v>42.271096349606331</v>
      </c>
      <c r="I30" s="13"/>
      <c r="J30" s="33">
        <f>J25*$D$22/1000</f>
        <v>2.7404999999999995</v>
      </c>
      <c r="K30" s="35">
        <f>K25*D22/1000</f>
        <v>2.1924000000000001</v>
      </c>
      <c r="L30" s="33">
        <f>L25*D22/1000</f>
        <v>0.54810000000000003</v>
      </c>
      <c r="M30" s="35">
        <f>M25*D22/1000</f>
        <v>39.530596349606341</v>
      </c>
      <c r="N30" s="186"/>
      <c r="O30" s="187">
        <f>O25*D22/1000</f>
        <v>3.953059634960634</v>
      </c>
      <c r="P30" s="35">
        <f>P25*D22/1000</f>
        <v>35.577536714645696</v>
      </c>
      <c r="Q30" s="13"/>
      <c r="R30" s="35">
        <f>R25*D22/1000</f>
        <v>13.104039868377967</v>
      </c>
      <c r="S30" s="35">
        <f>R30/Ka_So</f>
        <v>93.600284774128326</v>
      </c>
      <c r="T30" s="272" t="s">
        <v>760</v>
      </c>
    </row>
    <row r="31" spans="2:25" x14ac:dyDescent="0.3">
      <c r="C31" s="29" t="s">
        <v>47</v>
      </c>
      <c r="D31" s="3">
        <f>ekm_vuosituotos/Funktiot!C3</f>
        <v>8654.750039292494</v>
      </c>
      <c r="E31" s="30" t="s">
        <v>224</v>
      </c>
      <c r="G31" s="15" t="s">
        <v>80</v>
      </c>
      <c r="H31" s="17">
        <f>H26*D27/1000</f>
        <v>162.65241433021808</v>
      </c>
      <c r="I31" s="18"/>
      <c r="J31" s="119">
        <f>D27*J26/1000</f>
        <v>24.39786214953271</v>
      </c>
      <c r="K31" s="34">
        <f>D27*K26/1000</f>
        <v>21.958075934579441</v>
      </c>
      <c r="L31" s="119">
        <f>D27*L26/1000</f>
        <v>2.4397862149532705</v>
      </c>
      <c r="M31" s="34">
        <f>D27*M26/1000</f>
        <v>138.25455218068535</v>
      </c>
      <c r="N31" s="188"/>
      <c r="O31" s="189">
        <f>D27*O26/1000</f>
        <v>13.825455218068537</v>
      </c>
      <c r="P31" s="34">
        <f>D27*P26/1000</f>
        <v>124.42909696261682</v>
      </c>
      <c r="Q31" s="18"/>
      <c r="R31" s="34">
        <f>D27*R26/1000</f>
        <v>45.21737118380063</v>
      </c>
      <c r="S31" s="34">
        <f>R31/Ka_So</f>
        <v>322.98122274143304</v>
      </c>
      <c r="U31" s="15"/>
    </row>
    <row r="32" spans="2:25" x14ac:dyDescent="0.3">
      <c r="C32" s="6" t="s">
        <v>57</v>
      </c>
      <c r="D32" s="28">
        <f>SUM(D4:D9)/D10</f>
        <v>0.6901408450704225</v>
      </c>
      <c r="E32" s="8" t="s">
        <v>1</v>
      </c>
      <c r="G32" t="s">
        <v>92</v>
      </c>
      <c r="H32" s="35">
        <f>SUM(H29:H31)</f>
        <v>834.2795106798244</v>
      </c>
      <c r="I32" s="35"/>
      <c r="J32" s="33">
        <f>SUM(J29:J31)</f>
        <v>322.5503621495327</v>
      </c>
      <c r="K32" s="35">
        <f>SUM(K29:K31)</f>
        <v>229.65447593457947</v>
      </c>
      <c r="L32" s="35">
        <f>SUM(L29:L31)</f>
        <v>86.473886214953296</v>
      </c>
      <c r="M32" s="35"/>
      <c r="N32" s="188"/>
      <c r="O32" s="189">
        <f>SUM(O29:O31)</f>
        <v>17.778514853029172</v>
      </c>
      <c r="P32" s="35">
        <f>SUM(P29:P31)</f>
        <v>493.9506336772626</v>
      </c>
      <c r="Q32" s="35"/>
      <c r="R32" s="35">
        <f>SUM(R29:R31)</f>
        <v>233.28237905217858</v>
      </c>
      <c r="S32" s="35">
        <f>SUM(S29:S31)</f>
        <v>1666.302707515561</v>
      </c>
      <c r="U32" s="3">
        <f>U26*RavinnetaseN!U108</f>
        <v>350</v>
      </c>
      <c r="V32" t="s">
        <v>921</v>
      </c>
    </row>
    <row r="33" spans="2:23" x14ac:dyDescent="0.3">
      <c r="C33" s="29" t="s">
        <v>58</v>
      </c>
      <c r="D33" s="40">
        <f>POWER(D32,-1)</f>
        <v>1.4489795918367347</v>
      </c>
      <c r="E33" s="30" t="s">
        <v>59</v>
      </c>
    </row>
    <row r="34" spans="2:23" x14ac:dyDescent="0.3">
      <c r="C34" s="6" t="s">
        <v>60</v>
      </c>
      <c r="D34" s="27">
        <f>Funktiot!C2/Lähtötiedot!D13</f>
        <v>9.6289513324843643</v>
      </c>
      <c r="E34" s="8" t="s">
        <v>61</v>
      </c>
      <c r="N34" t="s">
        <v>795</v>
      </c>
      <c r="O34" s="1">
        <f>O32</f>
        <v>17.778514853029172</v>
      </c>
      <c r="P34" t="s">
        <v>819</v>
      </c>
      <c r="W34" s="2"/>
    </row>
    <row r="35" spans="2:23" ht="15" thickBot="1" x14ac:dyDescent="0.35">
      <c r="C35" s="6" t="s">
        <v>29</v>
      </c>
      <c r="D35" s="38">
        <f>Lähtötiedot!D9</f>
        <v>43.899999999999977</v>
      </c>
      <c r="E35" s="8" t="s">
        <v>2</v>
      </c>
      <c r="N35" s="284" t="s">
        <v>820</v>
      </c>
      <c r="O35" s="290">
        <f>P30+P31</f>
        <v>160.00663367726253</v>
      </c>
      <c r="P35" s="284" t="s">
        <v>819</v>
      </c>
      <c r="R35" s="37"/>
    </row>
    <row r="36" spans="2:23" ht="15" thickTop="1" x14ac:dyDescent="0.3">
      <c r="C36" s="6" t="s">
        <v>434</v>
      </c>
      <c r="D36" s="27">
        <f>1000*RavinnetaseN!O11/RavinnetaseN!N11</f>
        <v>22.139653460304668</v>
      </c>
      <c r="E36" s="8" t="s">
        <v>436</v>
      </c>
      <c r="F36" s="3">
        <f>D38*6.25</f>
        <v>131.01999999999998</v>
      </c>
      <c r="N36" t="s">
        <v>821</v>
      </c>
      <c r="O36" s="1">
        <f>O35+O34</f>
        <v>177.78514853029171</v>
      </c>
      <c r="P36" t="s">
        <v>819</v>
      </c>
      <c r="R36" s="37"/>
    </row>
    <row r="37" spans="2:23" x14ac:dyDescent="0.3">
      <c r="B37" s="3"/>
      <c r="C37" s="29" t="s">
        <v>868</v>
      </c>
      <c r="D37" s="41">
        <f>Lähtötiedot!D16</f>
        <v>10.7</v>
      </c>
      <c r="E37" s="30" t="s">
        <v>50</v>
      </c>
      <c r="G37" s="12" t="s">
        <v>70</v>
      </c>
      <c r="H37" t="s">
        <v>310</v>
      </c>
      <c r="I37" t="s">
        <v>309</v>
      </c>
      <c r="J37" t="s">
        <v>71</v>
      </c>
      <c r="R37" s="37"/>
    </row>
    <row r="38" spans="2:23" x14ac:dyDescent="0.3">
      <c r="C38" s="29" t="s">
        <v>435</v>
      </c>
      <c r="D38" s="107">
        <f>G13*0.16</f>
        <v>20.963199999999997</v>
      </c>
      <c r="E38" s="8" t="s">
        <v>436</v>
      </c>
      <c r="G38" t="s">
        <v>72</v>
      </c>
      <c r="H38">
        <f>J38-21</f>
        <v>22.899999999999977</v>
      </c>
      <c r="I38">
        <v>21</v>
      </c>
      <c r="J38">
        <f>Lähtötiedot!D9</f>
        <v>43.899999999999977</v>
      </c>
      <c r="K38" t="s">
        <v>33</v>
      </c>
    </row>
    <row r="39" spans="2:23" x14ac:dyDescent="0.3">
      <c r="C39" s="9" t="s">
        <v>867</v>
      </c>
      <c r="D39" s="42">
        <f>Lähtötiedot!D14/Karja!D37</f>
        <v>6.2616822429906547</v>
      </c>
      <c r="E39" s="11" t="s">
        <v>61</v>
      </c>
      <c r="G39" t="s">
        <v>272</v>
      </c>
      <c r="H39" s="1">
        <f>D34</f>
        <v>9.6289513324843643</v>
      </c>
      <c r="I39" s="1">
        <f>H39-I40</f>
        <v>8.3239513324843646</v>
      </c>
      <c r="J39" s="198">
        <f>H38/D35*H39+I38/D35*I39</f>
        <v>9.0046916513909707</v>
      </c>
      <c r="K39" t="s">
        <v>411</v>
      </c>
    </row>
    <row r="40" spans="2:23" x14ac:dyDescent="0.3">
      <c r="C40" s="37" t="s">
        <v>81</v>
      </c>
      <c r="D40" s="46">
        <f>K6/1000</f>
        <v>0.27</v>
      </c>
      <c r="E40" s="37" t="s">
        <v>18</v>
      </c>
      <c r="G40" s="15" t="s">
        <v>271</v>
      </c>
      <c r="H40" s="69">
        <f>Lähtötiedot!D10*0.87</f>
        <v>0</v>
      </c>
      <c r="I40" s="42">
        <f>Lähtötiedot!D11*0.87</f>
        <v>1.3049999999999999</v>
      </c>
      <c r="J40" s="83">
        <f>H38/D35*H40+I38/D35*I40</f>
        <v>0.62425968109339436</v>
      </c>
      <c r="K40" t="s">
        <v>411</v>
      </c>
    </row>
    <row r="41" spans="2:23" x14ac:dyDescent="0.3">
      <c r="C41" s="37" t="s">
        <v>108</v>
      </c>
      <c r="D41" s="46">
        <f>K8/1000</f>
        <v>0.35</v>
      </c>
      <c r="E41" s="37" t="s">
        <v>18</v>
      </c>
      <c r="J41" s="36">
        <f>J40/(J39+J40)</f>
        <v>6.4831533521971726E-2</v>
      </c>
      <c r="K41" t="s">
        <v>311</v>
      </c>
    </row>
    <row r="42" spans="2:23" x14ac:dyDescent="0.3">
      <c r="C42" s="37" t="s">
        <v>82</v>
      </c>
      <c r="D42" s="43">
        <f>P32/D40</f>
        <v>1829.4467913972687</v>
      </c>
      <c r="E42" s="37" t="s">
        <v>83</v>
      </c>
      <c r="J42" s="49">
        <f>(J41)*0.2</f>
        <v>1.2966306704394345E-2</v>
      </c>
      <c r="K42" t="s">
        <v>754</v>
      </c>
    </row>
    <row r="43" spans="2:23" x14ac:dyDescent="0.3">
      <c r="C43" s="37" t="s">
        <v>109</v>
      </c>
      <c r="D43" s="45">
        <f>IF(D41=0,0,O32/D41)</f>
        <v>50.795756722940496</v>
      </c>
      <c r="E43" s="37" t="s">
        <v>83</v>
      </c>
    </row>
    <row r="44" spans="2:23" x14ac:dyDescent="0.3">
      <c r="J44" s="49">
        <f>J39+J40</f>
        <v>9.6289513324843643</v>
      </c>
      <c r="K44" t="s">
        <v>608</v>
      </c>
    </row>
    <row r="45" spans="2:23" x14ac:dyDescent="0.3">
      <c r="B45" t="s">
        <v>553</v>
      </c>
      <c r="C45" s="37" t="s">
        <v>554</v>
      </c>
      <c r="D45" s="45">
        <f>H32</f>
        <v>834.2795106798244</v>
      </c>
      <c r="E45" s="37" t="s">
        <v>3</v>
      </c>
      <c r="J45" s="1">
        <f>(K25*G4+L25*G5+O25*G8+P25*G6)/D35</f>
        <v>1397.2190654359067</v>
      </c>
      <c r="K45" t="s">
        <v>611</v>
      </c>
    </row>
    <row r="46" spans="2:23" x14ac:dyDescent="0.3">
      <c r="C46" s="37" t="s">
        <v>557</v>
      </c>
      <c r="D46" s="45">
        <f>M29+M30+M31</f>
        <v>511.72914853029181</v>
      </c>
      <c r="E46" s="37" t="s">
        <v>3</v>
      </c>
      <c r="J46" s="49">
        <f>J45/J44</f>
        <v>145.10604708554595</v>
      </c>
      <c r="K46" t="s">
        <v>609</v>
      </c>
    </row>
    <row r="47" spans="2:23" x14ac:dyDescent="0.3">
      <c r="C47" s="37" t="s">
        <v>555</v>
      </c>
      <c r="D47" s="45">
        <f>J29+J30+J31</f>
        <v>322.5503621495327</v>
      </c>
      <c r="E47" s="37" t="s">
        <v>3</v>
      </c>
    </row>
    <row r="48" spans="2:23" x14ac:dyDescent="0.3">
      <c r="C48" s="37" t="s">
        <v>556</v>
      </c>
      <c r="D48" s="46">
        <f>D47/D45</f>
        <v>0.38662145961932831</v>
      </c>
      <c r="E48" s="37" t="s">
        <v>3</v>
      </c>
      <c r="J48">
        <f>Lähtötiedot!D18</f>
        <v>6</v>
      </c>
      <c r="K48" t="s">
        <v>614</v>
      </c>
    </row>
    <row r="49" spans="3:11" x14ac:dyDescent="0.3">
      <c r="C49" s="37" t="s">
        <v>558</v>
      </c>
      <c r="D49" s="46">
        <f>L32/J32</f>
        <v>0.26809421523719895</v>
      </c>
      <c r="I49" t="s">
        <v>615</v>
      </c>
      <c r="J49">
        <f>248*0.16*0.13</f>
        <v>5.1584000000000003</v>
      </c>
      <c r="K49" t="s">
        <v>619</v>
      </c>
    </row>
    <row r="50" spans="3:11" x14ac:dyDescent="0.3">
      <c r="J50">
        <f>J49*J48</f>
        <v>30.950400000000002</v>
      </c>
      <c r="K50" t="s">
        <v>620</v>
      </c>
    </row>
    <row r="51" spans="3:11" x14ac:dyDescent="0.3">
      <c r="J51">
        <f>J50*14</f>
        <v>433.30560000000003</v>
      </c>
      <c r="K51" t="s">
        <v>810</v>
      </c>
    </row>
    <row r="52" spans="3:11" x14ac:dyDescent="0.3">
      <c r="J52">
        <f>J51/1000</f>
        <v>0.43330560000000001</v>
      </c>
      <c r="K52" t="s">
        <v>621</v>
      </c>
    </row>
  </sheetData>
  <mergeCells count="2">
    <mergeCell ref="F2:K2"/>
    <mergeCell ref="O10:T10"/>
  </mergeCells>
  <pageMargins left="0.7" right="0.7" top="0.75" bottom="0.75" header="0.3" footer="0.3"/>
  <pageSetup paperSize="9" orientation="portrait" horizontalDpi="300" verticalDpi="300"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ul5">
    <pageSetUpPr fitToPage="1"/>
  </sheetPr>
  <dimension ref="A1:AH88"/>
  <sheetViews>
    <sheetView topLeftCell="A17" zoomScale="90" zoomScaleNormal="90" workbookViewId="0">
      <selection activeCell="H26" sqref="H26"/>
    </sheetView>
  </sheetViews>
  <sheetFormatPr defaultRowHeight="14.4" x14ac:dyDescent="0.3"/>
  <cols>
    <col min="1" max="1" width="3.44140625" customWidth="1"/>
    <col min="2" max="2" width="3.77734375" customWidth="1"/>
    <col min="3" max="3" width="21" customWidth="1"/>
    <col min="4" max="4" width="8.33203125" customWidth="1"/>
    <col min="5" max="5" width="5.44140625" customWidth="1"/>
    <col min="6" max="6" width="3.88671875" customWidth="1"/>
    <col min="7" max="7" width="7.21875" customWidth="1"/>
    <col min="8" max="8" width="11.33203125" customWidth="1"/>
    <col min="9" max="10" width="10.5546875" bestFit="1" customWidth="1"/>
    <col min="11" max="11" width="8.21875" customWidth="1"/>
    <col min="12" max="12" width="10.44140625" customWidth="1"/>
    <col min="13" max="13" width="9.5546875" bestFit="1" customWidth="1"/>
    <col min="15" max="15" width="7.44140625" customWidth="1"/>
    <col min="18" max="18" width="8.44140625" customWidth="1"/>
    <col min="19" max="19" width="6.5546875" customWidth="1"/>
    <col min="20" max="20" width="6.21875" customWidth="1"/>
    <col min="21" max="21" width="9.44140625" customWidth="1"/>
    <col min="22" max="22" width="7.88671875" customWidth="1"/>
    <col min="23" max="23" width="13.21875" customWidth="1"/>
    <col min="24" max="24" width="11.88671875" customWidth="1"/>
    <col min="31" max="31" width="10.44140625" customWidth="1"/>
  </cols>
  <sheetData>
    <row r="1" spans="2:25" x14ac:dyDescent="0.3">
      <c r="G1" s="50" t="s">
        <v>93</v>
      </c>
      <c r="H1" s="50" t="s">
        <v>416</v>
      </c>
      <c r="I1" s="50" t="s">
        <v>93</v>
      </c>
      <c r="U1" s="68" t="s">
        <v>315</v>
      </c>
    </row>
    <row r="2" spans="2:25" x14ac:dyDescent="0.3">
      <c r="B2" s="12" t="s">
        <v>91</v>
      </c>
      <c r="D2" s="117" t="s">
        <v>415</v>
      </c>
      <c r="G2" s="130" t="s">
        <v>393</v>
      </c>
      <c r="H2" s="50" t="s">
        <v>417</v>
      </c>
      <c r="I2" s="130" t="s">
        <v>561</v>
      </c>
      <c r="J2" s="289" t="s">
        <v>761</v>
      </c>
      <c r="P2" t="s">
        <v>703</v>
      </c>
      <c r="Q2" s="203"/>
    </row>
    <row r="3" spans="2:25" x14ac:dyDescent="0.3">
      <c r="C3" s="4" t="s">
        <v>36</v>
      </c>
      <c r="D3" s="121">
        <f>Karja!P32</f>
        <v>493.9506336772626</v>
      </c>
      <c r="E3" s="67" t="s">
        <v>93</v>
      </c>
      <c r="F3" s="67"/>
      <c r="G3" s="123">
        <f>Karja!P31</f>
        <v>124.42909696261682</v>
      </c>
      <c r="H3" s="124">
        <f>G3/D13*(1+D14)</f>
        <v>20.821914686696243</v>
      </c>
      <c r="I3" s="273">
        <f>Karja!P30</f>
        <v>35.577536714645696</v>
      </c>
      <c r="J3" s="278">
        <f>(I3/D13)*(1+D14)</f>
        <v>5.9535305834271055</v>
      </c>
      <c r="K3" s="2" t="s">
        <v>816</v>
      </c>
      <c r="P3" s="4" t="s">
        <v>36</v>
      </c>
      <c r="Q3" s="209">
        <f>D3/N4*(1+D14)</f>
        <v>5.4334569704498898</v>
      </c>
      <c r="R3" s="5" t="s">
        <v>93</v>
      </c>
      <c r="S3" t="s">
        <v>765</v>
      </c>
    </row>
    <row r="4" spans="2:25" x14ac:dyDescent="0.3">
      <c r="C4" s="6" t="s">
        <v>64</v>
      </c>
      <c r="D4" s="122">
        <f>Karja!O32</f>
        <v>17.778514853029172</v>
      </c>
      <c r="E4" s="7" t="s">
        <v>93</v>
      </c>
      <c r="F4" s="7"/>
      <c r="G4" s="125">
        <f>Karja!O31</f>
        <v>13.825455218068537</v>
      </c>
      <c r="H4" s="126">
        <f>G4/D17*(1+D14)</f>
        <v>2.3396924215192914</v>
      </c>
      <c r="I4" s="274">
        <f>Karja!O30</f>
        <v>3.953059634960634</v>
      </c>
      <c r="J4" s="236">
        <f>(I4/D17)*(1+D14)</f>
        <v>0.66897932283949191</v>
      </c>
      <c r="L4" t="s">
        <v>762</v>
      </c>
      <c r="N4">
        <f>Lähtötiedot!D5</f>
        <v>100</v>
      </c>
      <c r="P4" s="6" t="s">
        <v>64</v>
      </c>
      <c r="Q4" s="210">
        <f>D4/N4*(1+D14)</f>
        <v>0.19556366338332093</v>
      </c>
      <c r="R4" s="8" t="s">
        <v>93</v>
      </c>
      <c r="S4" t="s">
        <v>765</v>
      </c>
      <c r="T4" s="1"/>
    </row>
    <row r="5" spans="2:25" x14ac:dyDescent="0.3">
      <c r="C5" s="6" t="s">
        <v>541</v>
      </c>
      <c r="D5" s="122">
        <f>Lähtötiedot!D3*Karja!K32</f>
        <v>0</v>
      </c>
      <c r="E5" s="7" t="s">
        <v>93</v>
      </c>
      <c r="F5" s="7"/>
      <c r="G5" s="125"/>
      <c r="H5" s="126"/>
      <c r="I5" s="94"/>
      <c r="J5" s="236"/>
      <c r="L5" s="49" t="s">
        <v>544</v>
      </c>
      <c r="N5" s="1">
        <f>Lähtötiedot!D3</f>
        <v>0</v>
      </c>
      <c r="P5" s="6" t="s">
        <v>541</v>
      </c>
      <c r="Q5" s="210">
        <f>D5/N4</f>
        <v>0</v>
      </c>
      <c r="R5" s="8" t="s">
        <v>93</v>
      </c>
      <c r="T5" s="1"/>
    </row>
    <row r="6" spans="2:25" x14ac:dyDescent="0.3">
      <c r="C6" s="6" t="s">
        <v>545</v>
      </c>
      <c r="D6" s="122">
        <f>(1-Lähtötiedot!D3)*Karja!K32</f>
        <v>229.65447593457947</v>
      </c>
      <c r="E6" s="7" t="s">
        <v>93</v>
      </c>
      <c r="F6" s="7"/>
      <c r="G6" s="125">
        <f>Karja!K31*N6</f>
        <v>21.958075934579441</v>
      </c>
      <c r="H6" s="126">
        <f>G6/D20</f>
        <v>6.3831616088893721</v>
      </c>
      <c r="I6" s="274">
        <f>Karja!K30*N6</f>
        <v>2.1924000000000001</v>
      </c>
      <c r="J6" s="275">
        <f>I6/D20</f>
        <v>0.63732558139534889</v>
      </c>
      <c r="L6" s="49" t="s">
        <v>569</v>
      </c>
      <c r="N6" s="1">
        <f>1-N5</f>
        <v>1</v>
      </c>
      <c r="P6" s="6" t="s">
        <v>545</v>
      </c>
      <c r="Q6" s="210">
        <f>D6/N4</f>
        <v>2.2965447593457946</v>
      </c>
      <c r="R6" s="8" t="s">
        <v>93</v>
      </c>
      <c r="T6" s="1"/>
    </row>
    <row r="7" spans="2:25" x14ac:dyDescent="0.3">
      <c r="C7" s="6" t="s">
        <v>35</v>
      </c>
      <c r="D7" s="122">
        <f>Karja!L32</f>
        <v>86.473886214953296</v>
      </c>
      <c r="E7" s="7" t="s">
        <v>93</v>
      </c>
      <c r="F7" s="7"/>
      <c r="G7" s="125">
        <f>Karja!L31</f>
        <v>2.4397862149532705</v>
      </c>
      <c r="H7" s="127"/>
      <c r="I7" s="6"/>
      <c r="J7" s="8"/>
      <c r="L7" s="3"/>
      <c r="N7" s="49"/>
      <c r="P7" s="6" t="s">
        <v>35</v>
      </c>
      <c r="Q7" s="210">
        <f>D7/N4</f>
        <v>0.86473886214953299</v>
      </c>
      <c r="R7" s="8" t="s">
        <v>93</v>
      </c>
      <c r="T7" s="1"/>
    </row>
    <row r="8" spans="2:25" x14ac:dyDescent="0.3">
      <c r="C8" s="9" t="s">
        <v>94</v>
      </c>
      <c r="D8" s="34">
        <f>D5+D6+D7</f>
        <v>316.12836214953279</v>
      </c>
      <c r="E8" s="15" t="s">
        <v>93</v>
      </c>
      <c r="F8" s="15"/>
      <c r="G8" s="128">
        <f>G6+G7</f>
        <v>24.39786214953271</v>
      </c>
      <c r="H8" s="129"/>
      <c r="I8" s="9"/>
      <c r="J8" s="11"/>
      <c r="P8" s="9" t="s">
        <v>94</v>
      </c>
      <c r="Q8" s="119">
        <f>SUM(Q5:Q7)</f>
        <v>3.1612836214953277</v>
      </c>
      <c r="R8" s="11" t="s">
        <v>93</v>
      </c>
      <c r="T8" s="1"/>
    </row>
    <row r="10" spans="2:25" x14ac:dyDescent="0.3">
      <c r="B10" s="12" t="s">
        <v>97</v>
      </c>
    </row>
    <row r="11" spans="2:25" x14ac:dyDescent="0.3">
      <c r="B11" s="12"/>
      <c r="C11" t="s">
        <v>323</v>
      </c>
      <c r="D11" s="1">
        <f>Sato_apila*Lähtötiedot!D32</f>
        <v>6.624041088000002</v>
      </c>
      <c r="E11" t="s">
        <v>99</v>
      </c>
      <c r="I11" s="2"/>
    </row>
    <row r="12" spans="2:25" x14ac:dyDescent="0.3">
      <c r="C12" t="s">
        <v>322</v>
      </c>
      <c r="D12" s="107">
        <f>Sato_nurmi*Lähtötiedot!D32</f>
        <v>6.5734591999999994</v>
      </c>
      <c r="E12" t="s">
        <v>99</v>
      </c>
      <c r="V12" t="s">
        <v>1019</v>
      </c>
    </row>
    <row r="13" spans="2:25" x14ac:dyDescent="0.3">
      <c r="C13" t="s">
        <v>325</v>
      </c>
      <c r="D13" s="107">
        <f>silageyield</f>
        <v>6.5734591999999994</v>
      </c>
      <c r="I13" t="s">
        <v>709</v>
      </c>
      <c r="V13" t="s">
        <v>1020</v>
      </c>
      <c r="X13">
        <f>N41/D26</f>
        <v>49.398280902839602</v>
      </c>
      <c r="Y13" t="s">
        <v>514</v>
      </c>
    </row>
    <row r="14" spans="2:25" x14ac:dyDescent="0.3">
      <c r="C14" t="s">
        <v>98</v>
      </c>
      <c r="D14" s="41">
        <f>Lähtötiedot!D30</f>
        <v>0.1</v>
      </c>
      <c r="E14" t="s">
        <v>31</v>
      </c>
      <c r="G14" t="s">
        <v>592</v>
      </c>
      <c r="V14" t="s">
        <v>1021</v>
      </c>
      <c r="X14">
        <v>0.3</v>
      </c>
      <c r="Y14" t="s">
        <v>31</v>
      </c>
    </row>
    <row r="15" spans="2:25" x14ac:dyDescent="0.3">
      <c r="C15" t="s">
        <v>1018</v>
      </c>
      <c r="D15" s="41"/>
      <c r="V15" t="s">
        <v>1022</v>
      </c>
      <c r="X15">
        <f>X13*X14</f>
        <v>14.819484270851881</v>
      </c>
      <c r="Y15" t="s">
        <v>1023</v>
      </c>
    </row>
    <row r="16" spans="2:25" x14ac:dyDescent="0.3">
      <c r="C16" s="50" t="s">
        <v>763</v>
      </c>
      <c r="D16" s="277">
        <v>4</v>
      </c>
      <c r="E16" s="50" t="s">
        <v>815</v>
      </c>
      <c r="F16" s="50"/>
      <c r="G16" s="50"/>
      <c r="H16" s="50"/>
      <c r="V16" t="s">
        <v>1024</v>
      </c>
      <c r="X16" s="3">
        <f>H26-X15</f>
        <v>205.18051572914811</v>
      </c>
      <c r="Y16" t="s">
        <v>8</v>
      </c>
    </row>
    <row r="17" spans="2:34" x14ac:dyDescent="0.3">
      <c r="C17" t="s">
        <v>64</v>
      </c>
      <c r="D17" s="41">
        <f>Lähtötiedot!D37</f>
        <v>6.5</v>
      </c>
      <c r="E17" t="s">
        <v>99</v>
      </c>
      <c r="I17" s="12"/>
    </row>
    <row r="18" spans="2:34" x14ac:dyDescent="0.3">
      <c r="C18" t="s">
        <v>659</v>
      </c>
      <c r="D18" s="107">
        <f>D19*0.65</f>
        <v>2.2360000000000002</v>
      </c>
      <c r="E18" t="s">
        <v>99</v>
      </c>
      <c r="I18" s="2" t="s">
        <v>661</v>
      </c>
    </row>
    <row r="19" spans="2:34" x14ac:dyDescent="0.3">
      <c r="C19" t="s">
        <v>660</v>
      </c>
      <c r="D19" s="107">
        <f>Lähtötiedot!D44*0.86</f>
        <v>3.44</v>
      </c>
      <c r="E19" t="s">
        <v>99</v>
      </c>
      <c r="I19" s="12"/>
    </row>
    <row r="20" spans="2:34" x14ac:dyDescent="0.3">
      <c r="C20" t="s">
        <v>34</v>
      </c>
      <c r="D20" s="107">
        <f>D19</f>
        <v>3.44</v>
      </c>
      <c r="E20" t="s">
        <v>99</v>
      </c>
    </row>
    <row r="21" spans="2:34" x14ac:dyDescent="0.3">
      <c r="C21" t="s">
        <v>345</v>
      </c>
      <c r="D21" s="87">
        <f>Lähtötiedot!D24-Lähtötiedot!D29</f>
        <v>116.78571428571428</v>
      </c>
      <c r="E21" t="s">
        <v>8</v>
      </c>
      <c r="M21" t="s">
        <v>804</v>
      </c>
      <c r="S21" s="12"/>
      <c r="X21" s="2"/>
    </row>
    <row r="22" spans="2:34" x14ac:dyDescent="0.3">
      <c r="C22" t="s">
        <v>766</v>
      </c>
      <c r="D22" s="87">
        <f>Lähtötiedot!D29</f>
        <v>103.21428571428572</v>
      </c>
      <c r="E22" t="s">
        <v>8</v>
      </c>
      <c r="M22" t="s">
        <v>805</v>
      </c>
      <c r="P22" t="s">
        <v>300</v>
      </c>
      <c r="Q22" t="s">
        <v>300</v>
      </c>
      <c r="R22" t="s">
        <v>300</v>
      </c>
      <c r="S22" t="s">
        <v>300</v>
      </c>
      <c r="T22" t="s">
        <v>300</v>
      </c>
      <c r="U22" t="s">
        <v>300</v>
      </c>
      <c r="V22" t="s">
        <v>300</v>
      </c>
    </row>
    <row r="23" spans="2:34" x14ac:dyDescent="0.3">
      <c r="C23" t="s">
        <v>112</v>
      </c>
      <c r="D23" s="3">
        <f>D22+D21</f>
        <v>220</v>
      </c>
      <c r="E23" t="s">
        <v>8</v>
      </c>
      <c r="G23" s="117"/>
      <c r="I23" s="328" t="s">
        <v>330</v>
      </c>
      <c r="J23" s="328"/>
      <c r="K23" s="328"/>
      <c r="M23" s="329" t="s">
        <v>341</v>
      </c>
      <c r="N23" s="329"/>
      <c r="P23" s="81" t="s">
        <v>486</v>
      </c>
      <c r="Q23" s="81" t="s">
        <v>486</v>
      </c>
      <c r="R23" t="s">
        <v>491</v>
      </c>
    </row>
    <row r="24" spans="2:34" x14ac:dyDescent="0.3">
      <c r="G24" s="117" t="s">
        <v>11</v>
      </c>
      <c r="H24" s="117" t="s">
        <v>329</v>
      </c>
      <c r="I24" t="s">
        <v>149</v>
      </c>
      <c r="J24" t="s">
        <v>148</v>
      </c>
      <c r="K24" t="s">
        <v>150</v>
      </c>
      <c r="L24" t="s">
        <v>150</v>
      </c>
      <c r="M24" s="4" t="s">
        <v>339</v>
      </c>
      <c r="N24" s="5" t="s">
        <v>340</v>
      </c>
      <c r="P24" s="81" t="s">
        <v>487</v>
      </c>
      <c r="Q24" s="81" t="s">
        <v>487</v>
      </c>
      <c r="R24" t="s">
        <v>798</v>
      </c>
      <c r="S24" t="s">
        <v>340</v>
      </c>
      <c r="T24" t="s">
        <v>493</v>
      </c>
      <c r="U24" t="s">
        <v>494</v>
      </c>
      <c r="V24" s="12" t="s">
        <v>495</v>
      </c>
    </row>
    <row r="25" spans="2:34" x14ac:dyDescent="0.3">
      <c r="B25" s="12" t="s">
        <v>414</v>
      </c>
      <c r="C25" s="15"/>
      <c r="D25" s="15"/>
      <c r="E25" s="15"/>
      <c r="F25" s="15"/>
      <c r="G25" s="118" t="s">
        <v>8</v>
      </c>
      <c r="H25" s="118" t="s">
        <v>8</v>
      </c>
      <c r="I25" s="15" t="s">
        <v>8</v>
      </c>
      <c r="J25" s="15" t="s">
        <v>8</v>
      </c>
      <c r="K25" s="15" t="s">
        <v>181</v>
      </c>
      <c r="L25" s="15" t="s">
        <v>186</v>
      </c>
      <c r="M25" s="9" t="s">
        <v>676</v>
      </c>
      <c r="N25" s="30" t="s">
        <v>675</v>
      </c>
      <c r="P25" s="170" t="s">
        <v>334</v>
      </c>
      <c r="Q25" s="170" t="s">
        <v>510</v>
      </c>
      <c r="R25" t="s">
        <v>799</v>
      </c>
      <c r="S25" t="s">
        <v>492</v>
      </c>
      <c r="T25" t="s">
        <v>490</v>
      </c>
      <c r="U25" t="s">
        <v>488</v>
      </c>
      <c r="V25" s="12" t="s">
        <v>488</v>
      </c>
      <c r="Y25" s="15"/>
      <c r="Z25" s="15"/>
      <c r="AA25" s="15"/>
      <c r="AB25" s="15"/>
      <c r="AC25" s="15"/>
    </row>
    <row r="26" spans="2:34" x14ac:dyDescent="0.3">
      <c r="C26" t="s">
        <v>36</v>
      </c>
      <c r="D26" s="49">
        <f>(D3/D13)*(1+D14)/Lähtötiedot!D5</f>
        <v>0.82657498968730037</v>
      </c>
      <c r="E26" t="s">
        <v>5</v>
      </c>
      <c r="G26" s="117">
        <f>Lähtötiedot!D24</f>
        <v>220</v>
      </c>
      <c r="H26" s="13">
        <f>(N41+N42+N43)/D26</f>
        <v>220</v>
      </c>
      <c r="I26" s="56">
        <f>Lähtötiedot!D24</f>
        <v>220</v>
      </c>
      <c r="J26" s="139">
        <f>I26-K26</f>
        <v>116.78571428571428</v>
      </c>
      <c r="K26" s="77">
        <f>Lähtötiedot!D29</f>
        <v>103.21428571428572</v>
      </c>
      <c r="L26" s="54">
        <f>Lähtötiedot!D28</f>
        <v>170</v>
      </c>
      <c r="M26" s="94">
        <f>L26*D26</f>
        <v>140.51774824684105</v>
      </c>
      <c r="N26" s="60">
        <f>K26*D26</f>
        <v>85.3143471498678</v>
      </c>
      <c r="O26" t="s">
        <v>300</v>
      </c>
      <c r="P26" s="135">
        <f>N42*Lähtötiedot!D5</f>
        <v>14101.511420337107</v>
      </c>
      <c r="Q26" s="135"/>
      <c r="R26" s="54">
        <f>N41*N4</f>
        <v>4083.138352783501</v>
      </c>
      <c r="S26" s="13">
        <f>R26/D36</f>
        <v>49.398280902839602</v>
      </c>
      <c r="T26" s="13">
        <f>S26/D47</f>
        <v>29.057812295787997</v>
      </c>
      <c r="U26" s="174">
        <f>T26*D48</f>
        <v>14.528906147893998</v>
      </c>
      <c r="V26" s="155">
        <f>IF(Lähtötiedot!D27&lt;U26,0,Lähtötiedot!D27-Pelto!U26)</f>
        <v>9.4710938521060015</v>
      </c>
      <c r="Z26" s="49"/>
      <c r="AE26" s="49"/>
      <c r="AF26" s="3"/>
      <c r="AH26" s="3"/>
    </row>
    <row r="27" spans="2:34" x14ac:dyDescent="0.3">
      <c r="C27" t="s">
        <v>110</v>
      </c>
      <c r="D27" s="49">
        <f>D4/D17*(1+D14)/N4</f>
        <v>3.0086717443587832E-2</v>
      </c>
      <c r="E27" t="s">
        <v>5</v>
      </c>
      <c r="G27" s="117">
        <f>Lähtötiedot!D33</f>
        <v>110</v>
      </c>
      <c r="H27" s="13">
        <f>IF(D27=0,0,(N35+N36)/D27)</f>
        <v>110</v>
      </c>
      <c r="I27" s="56">
        <f>IF(D27=0,0,Lähtötiedot!D33)</f>
        <v>110</v>
      </c>
      <c r="J27" s="115">
        <f>I27-K27</f>
        <v>28.035714285714278</v>
      </c>
      <c r="K27" s="39">
        <f>IF(D27=0,0,Lähtötiedot!D35)</f>
        <v>81.964285714285722</v>
      </c>
      <c r="L27" s="54">
        <f>IF(D27=0,0,Lähtötiedot!D34)</f>
        <v>135</v>
      </c>
      <c r="M27" s="94">
        <f>L27*D27</f>
        <v>4.0617068548843571</v>
      </c>
      <c r="N27" s="106">
        <f>K27*D27</f>
        <v>2.466036304751217</v>
      </c>
      <c r="O27" t="s">
        <v>300</v>
      </c>
      <c r="P27" s="135">
        <f>N36*Lähtötiedot!D5</f>
        <v>84.350261404344451</v>
      </c>
      <c r="Q27" s="135"/>
      <c r="R27" s="54">
        <f>N35*N4</f>
        <v>246.60363047512169</v>
      </c>
      <c r="S27" s="13">
        <f>IF(R27=0,0,R27/D38)</f>
        <v>81.964285714285708</v>
      </c>
      <c r="T27" s="13">
        <f>S27/D47</f>
        <v>48.214285714285708</v>
      </c>
      <c r="U27" s="35">
        <f>T27*D48</f>
        <v>24.107142857142854</v>
      </c>
      <c r="V27" s="35">
        <f>Lähtötiedot!D36-Pelto!U27</f>
        <v>-0.1071428571428541</v>
      </c>
    </row>
    <row r="28" spans="2:34" x14ac:dyDescent="0.3">
      <c r="C28" t="s">
        <v>542</v>
      </c>
      <c r="D28" s="49">
        <f>D5/D20/Lähtötiedot!D5</f>
        <v>0</v>
      </c>
      <c r="E28" t="s">
        <v>5</v>
      </c>
      <c r="G28" s="181"/>
      <c r="H28" s="13"/>
      <c r="I28" s="56"/>
      <c r="J28" s="115"/>
      <c r="K28" s="39"/>
      <c r="L28" s="54"/>
      <c r="M28" s="94"/>
      <c r="N28" s="106"/>
      <c r="O28" t="s">
        <v>300</v>
      </c>
      <c r="P28" s="135"/>
      <c r="Q28" s="135"/>
      <c r="R28" s="54"/>
      <c r="S28" s="13"/>
      <c r="T28" s="13"/>
      <c r="U28" s="35"/>
      <c r="V28" s="35"/>
    </row>
    <row r="29" spans="2:34" x14ac:dyDescent="0.3">
      <c r="C29" t="s">
        <v>573</v>
      </c>
      <c r="D29" s="49">
        <f>D6/D20/Lähtötiedot!D5</f>
        <v>0.66760022074005665</v>
      </c>
      <c r="E29" t="s">
        <v>5</v>
      </c>
      <c r="G29" s="117">
        <f>Lähtötiedot!D40</f>
        <v>90</v>
      </c>
      <c r="H29" s="117">
        <f>IF(D29=0,0,(N38+N39)/D29)</f>
        <v>90</v>
      </c>
      <c r="I29" s="56">
        <f>Lähtötiedot!D40</f>
        <v>90</v>
      </c>
      <c r="J29" s="115">
        <f>I29-K29</f>
        <v>35</v>
      </c>
      <c r="K29" s="103">
        <f>Lähtötiedot!D42</f>
        <v>55</v>
      </c>
      <c r="L29" s="104">
        <f>Lähtötiedot!D41</f>
        <v>90.588235294117638</v>
      </c>
      <c r="M29" s="105">
        <f>L29*D29</f>
        <v>60.476725878805127</v>
      </c>
      <c r="N29" s="106">
        <f>K29*D29</f>
        <v>36.718012140703117</v>
      </c>
      <c r="O29" t="s">
        <v>300</v>
      </c>
      <c r="P29" s="135">
        <f>IF(D29&gt;0,N39*Lähtötiedot!D5,0)</f>
        <v>2336.6007725901982</v>
      </c>
      <c r="Q29" s="135"/>
      <c r="R29" s="54">
        <f>N38*N4</f>
        <v>3671.8012140703117</v>
      </c>
      <c r="S29" s="13">
        <f>IF(D29=0,0,R29/D37)</f>
        <v>55.000000000000007</v>
      </c>
      <c r="T29" s="13">
        <f>S29/D47</f>
        <v>32.352941176470587</v>
      </c>
      <c r="U29" s="35">
        <f>T29*D48</f>
        <v>16.176470588235293</v>
      </c>
      <c r="V29" s="35">
        <f>Lähtötiedot!D43-Pelto!U29</f>
        <v>-0.17647058823529349</v>
      </c>
      <c r="AH29" s="3"/>
    </row>
    <row r="30" spans="2:34" x14ac:dyDescent="0.3">
      <c r="C30" s="15" t="s">
        <v>111</v>
      </c>
      <c r="D30" s="19"/>
      <c r="E30" s="15" t="s">
        <v>5</v>
      </c>
      <c r="F30" s="15"/>
      <c r="G30" s="15"/>
      <c r="H30" s="15"/>
      <c r="I30" s="57"/>
      <c r="J30" s="55"/>
      <c r="K30" s="78"/>
      <c r="L30" s="55"/>
      <c r="M30" s="9"/>
      <c r="N30" s="60"/>
      <c r="O30" t="s">
        <v>300</v>
      </c>
      <c r="P30" s="79"/>
      <c r="Q30" s="79"/>
      <c r="R30" s="54"/>
      <c r="Y30" s="15"/>
      <c r="Z30" s="15"/>
      <c r="AA30" s="15"/>
      <c r="AB30" s="15"/>
      <c r="AC30" s="15"/>
    </row>
    <row r="31" spans="2:34" x14ac:dyDescent="0.3">
      <c r="C31" t="s">
        <v>543</v>
      </c>
      <c r="D31" s="49">
        <f>(SUM(D26:D30)-D28)*Lähtötiedot!D5</f>
        <v>152.42619278709449</v>
      </c>
      <c r="E31" t="s">
        <v>5</v>
      </c>
      <c r="F31" s="3" t="s">
        <v>767</v>
      </c>
      <c r="J31" s="25" t="s">
        <v>668</v>
      </c>
      <c r="L31" t="s">
        <v>332</v>
      </c>
      <c r="M31" s="95">
        <f>SUM(M26:M30)</f>
        <v>205.05618098053054</v>
      </c>
      <c r="N31" s="96">
        <f>SUM(N26:N30)</f>
        <v>124.49839559532214</v>
      </c>
      <c r="O31" s="25" t="s">
        <v>300</v>
      </c>
      <c r="P31" s="169">
        <f>SUM(P26:P30)</f>
        <v>16522.462454331649</v>
      </c>
      <c r="Q31" s="169">
        <f>P31/D31</f>
        <v>108.39647800827682</v>
      </c>
      <c r="AA31" s="2"/>
    </row>
    <row r="32" spans="2:34" x14ac:dyDescent="0.3">
      <c r="C32" t="s">
        <v>113</v>
      </c>
      <c r="D32" s="49">
        <f>D31/Karja!D22</f>
        <v>1.5242619278709448</v>
      </c>
      <c r="E32" t="s">
        <v>5</v>
      </c>
      <c r="M32" s="6"/>
      <c r="N32" s="8"/>
      <c r="P32" s="214"/>
      <c r="Q32" s="214"/>
    </row>
    <row r="33" spans="2:25" x14ac:dyDescent="0.3">
      <c r="C33" s="50" t="s">
        <v>418</v>
      </c>
      <c r="D33" s="131">
        <f>SUM(H3:H6)</f>
        <v>29.544768717104908</v>
      </c>
      <c r="E33" s="50" t="s">
        <v>5</v>
      </c>
      <c r="M33" s="97" t="s">
        <v>339</v>
      </c>
      <c r="N33" s="98" t="s">
        <v>340</v>
      </c>
      <c r="P33" s="138"/>
      <c r="Q33" s="138"/>
    </row>
    <row r="34" spans="2:25" x14ac:dyDescent="0.3">
      <c r="C34" s="50" t="s">
        <v>764</v>
      </c>
      <c r="D34" s="277">
        <f>I3/D16*(1+D14)</f>
        <v>9.7838225965275676</v>
      </c>
      <c r="E34" s="200" t="s">
        <v>5</v>
      </c>
      <c r="F34" s="200" t="s">
        <v>818</v>
      </c>
      <c r="L34" t="s">
        <v>333</v>
      </c>
      <c r="M34" s="99">
        <f>RavinnetaseN!I35/Lähtötiedot!D5</f>
        <v>131.7901232501236</v>
      </c>
      <c r="N34" s="100">
        <f>M34*D46</f>
        <v>80.015431973289338</v>
      </c>
      <c r="O34" t="s">
        <v>1017</v>
      </c>
      <c r="R34" s="2"/>
      <c r="Y34" t="s">
        <v>774</v>
      </c>
    </row>
    <row r="35" spans="2:25" x14ac:dyDescent="0.3">
      <c r="F35" s="200" t="s">
        <v>817</v>
      </c>
      <c r="L35" t="s">
        <v>335</v>
      </c>
      <c r="M35" s="101">
        <f>IF(D27=0,0,M27)</f>
        <v>4.0617068548843571</v>
      </c>
      <c r="N35" s="132">
        <f>IF(D27=0,0,N27)</f>
        <v>2.466036304751217</v>
      </c>
      <c r="O35" t="s">
        <v>776</v>
      </c>
      <c r="R35" s="2"/>
      <c r="Y35" t="s">
        <v>775</v>
      </c>
    </row>
    <row r="36" spans="2:25" x14ac:dyDescent="0.3">
      <c r="C36" t="s">
        <v>726</v>
      </c>
      <c r="D36">
        <f>D26*Lähtötiedot!D5</f>
        <v>82.657498968730039</v>
      </c>
      <c r="E36" t="s">
        <v>770</v>
      </c>
      <c r="J36" s="134" t="s">
        <v>677</v>
      </c>
      <c r="K36" s="133">
        <f>D27*I27</f>
        <v>3.3095389187946616</v>
      </c>
      <c r="L36" t="s">
        <v>335</v>
      </c>
      <c r="M36" s="101"/>
      <c r="N36" s="165">
        <f>K36-N35</f>
        <v>0.84350261404344451</v>
      </c>
      <c r="O36" s="137" t="s">
        <v>476</v>
      </c>
      <c r="R36" s="2"/>
      <c r="Y36" t="s">
        <v>300</v>
      </c>
    </row>
    <row r="37" spans="2:25" x14ac:dyDescent="0.3">
      <c r="C37" t="s">
        <v>727</v>
      </c>
      <c r="D37">
        <f>D29*Lähtötiedot!D5</f>
        <v>66.760022074005661</v>
      </c>
      <c r="E37" t="s">
        <v>770</v>
      </c>
      <c r="M37" s="166">
        <f>M34-M35</f>
        <v>127.72841639523924</v>
      </c>
      <c r="N37" s="167">
        <f>N34-N35</f>
        <v>77.549395668538125</v>
      </c>
      <c r="O37" s="168" t="s">
        <v>777</v>
      </c>
      <c r="R37" s="2"/>
      <c r="Y37" t="s">
        <v>300</v>
      </c>
    </row>
    <row r="38" spans="2:25" ht="15" thickBot="1" x14ac:dyDescent="0.35">
      <c r="C38" s="284" t="s">
        <v>795</v>
      </c>
      <c r="D38" s="284">
        <f>D27*N4</f>
        <v>3.0086717443587832</v>
      </c>
      <c r="E38" s="284" t="s">
        <v>770</v>
      </c>
      <c r="F38" s="284"/>
      <c r="G38" s="284"/>
      <c r="L38" t="s">
        <v>336</v>
      </c>
      <c r="M38" s="160">
        <f>IF(M37&lt;M29,M37,M29)</f>
        <v>60.476725878805127</v>
      </c>
      <c r="N38" s="132">
        <f>IF(N37&lt;N29,N37,N29)</f>
        <v>36.718012140703117</v>
      </c>
      <c r="O38" t="s">
        <v>718</v>
      </c>
      <c r="R38" s="2"/>
      <c r="U38" t="s">
        <v>475</v>
      </c>
      <c r="Y38" t="s">
        <v>300</v>
      </c>
    </row>
    <row r="39" spans="2:25" ht="15" thickTop="1" x14ac:dyDescent="0.3">
      <c r="D39" s="1">
        <f>SUM(D36:D38)</f>
        <v>152.42619278709449</v>
      </c>
      <c r="E39" t="s">
        <v>796</v>
      </c>
      <c r="J39" s="134" t="s">
        <v>677</v>
      </c>
      <c r="K39" s="133">
        <f>D29*I29</f>
        <v>60.084019866605097</v>
      </c>
      <c r="L39" t="s">
        <v>336</v>
      </c>
      <c r="M39" s="6"/>
      <c r="N39" s="165">
        <f>IF(K39&gt;N38,K39-N38,0)</f>
        <v>23.36600772590198</v>
      </c>
      <c r="O39" s="137" t="s">
        <v>797</v>
      </c>
      <c r="R39" s="2"/>
      <c r="Y39" t="s">
        <v>300</v>
      </c>
    </row>
    <row r="40" spans="2:25" x14ac:dyDescent="0.3">
      <c r="M40" s="158">
        <f>M37-M38</f>
        <v>67.25169051643411</v>
      </c>
      <c r="N40" s="159">
        <f>N37-N38</f>
        <v>40.831383527835008</v>
      </c>
      <c r="O40" t="s">
        <v>473</v>
      </c>
      <c r="R40" s="2"/>
      <c r="Y40" t="s">
        <v>780</v>
      </c>
    </row>
    <row r="41" spans="2:25" x14ac:dyDescent="0.3">
      <c r="L41" t="s">
        <v>474</v>
      </c>
      <c r="M41" s="101">
        <f>IF(M26&gt;M40,M40,M26)</f>
        <v>67.25169051643411</v>
      </c>
      <c r="N41" s="102">
        <f>IF(N26&gt;N40,N40,N26)</f>
        <v>40.831383527835008</v>
      </c>
      <c r="O41" t="s">
        <v>722</v>
      </c>
      <c r="R41" s="2"/>
      <c r="Y41" t="s">
        <v>300</v>
      </c>
    </row>
    <row r="42" spans="2:25" x14ac:dyDescent="0.3">
      <c r="J42" s="134" t="s">
        <v>677</v>
      </c>
      <c r="K42" s="133">
        <f>I26*D26</f>
        <v>181.84649773120609</v>
      </c>
      <c r="L42" t="s">
        <v>337</v>
      </c>
      <c r="M42" s="99"/>
      <c r="N42" s="165">
        <f>IF(Lähtötiedot!D2=1,K42-N41,N51)</f>
        <v>141.01511420337107</v>
      </c>
      <c r="O42" s="137" t="s">
        <v>778</v>
      </c>
      <c r="V42" s="2" t="str">
        <f>IF(Lähtötiedot!D2=2,"Apila hoitaa osan typestä","")</f>
        <v/>
      </c>
      <c r="Y42" t="s">
        <v>300</v>
      </c>
    </row>
    <row r="43" spans="2:25" x14ac:dyDescent="0.3">
      <c r="B43" t="s">
        <v>800</v>
      </c>
      <c r="C43" t="s">
        <v>16</v>
      </c>
      <c r="D43">
        <f>0.16*D12*RavinnetaseN!I6/1000</f>
        <v>0.15565951385599999</v>
      </c>
      <c r="E43" t="s">
        <v>3</v>
      </c>
      <c r="J43" s="202" t="s">
        <v>669</v>
      </c>
      <c r="K43" s="133"/>
      <c r="M43" s="99"/>
      <c r="N43" s="165">
        <f>IF(Lähtötiedot!D2=2,Funktiot!C28*D26,0)</f>
        <v>0</v>
      </c>
      <c r="O43" s="137" t="s">
        <v>781</v>
      </c>
      <c r="Y43" t="s">
        <v>300</v>
      </c>
    </row>
    <row r="44" spans="2:25" x14ac:dyDescent="0.3">
      <c r="B44" t="s">
        <v>800</v>
      </c>
      <c r="C44" t="s">
        <v>17</v>
      </c>
      <c r="D44">
        <f>100*D43*1000/I26</f>
        <v>70.754324479999994</v>
      </c>
      <c r="E44" t="s">
        <v>18</v>
      </c>
      <c r="M44" s="101">
        <f>M40-M41</f>
        <v>0</v>
      </c>
      <c r="N44" s="102">
        <f>N40-N41</f>
        <v>0</v>
      </c>
      <c r="O44" t="s">
        <v>717</v>
      </c>
      <c r="Y44" t="s">
        <v>300</v>
      </c>
    </row>
    <row r="45" spans="2:25" x14ac:dyDescent="0.3">
      <c r="C45" t="s">
        <v>170</v>
      </c>
      <c r="D45" s="80">
        <f>IF(Lähtötiedot!D45&gt;0,Lähtötiedot!D45,Funktiot!C29)</f>
        <v>2.8</v>
      </c>
      <c r="E45" t="s">
        <v>171</v>
      </c>
      <c r="H45">
        <v>3.5</v>
      </c>
      <c r="J45" s="134"/>
      <c r="K45" s="133"/>
      <c r="M45" s="9"/>
      <c r="N45" s="136"/>
      <c r="O45" s="137"/>
    </row>
    <row r="46" spans="2:25" x14ac:dyDescent="0.3">
      <c r="C46" t="s">
        <v>331</v>
      </c>
      <c r="D46" s="93">
        <f>Lähtötiedot!D46/Lähtötiedot!D45</f>
        <v>0.60714285714285721</v>
      </c>
      <c r="E46" t="s">
        <v>437</v>
      </c>
      <c r="L46" t="s">
        <v>343</v>
      </c>
      <c r="M46" s="164">
        <f>M44*Lähtötiedot!D5</f>
        <v>0</v>
      </c>
      <c r="N46" s="219">
        <f>N44*Lähtötiedot!D5</f>
        <v>0</v>
      </c>
      <c r="O46" t="s">
        <v>338</v>
      </c>
      <c r="Y46" t="s">
        <v>300</v>
      </c>
    </row>
    <row r="47" spans="2:25" x14ac:dyDescent="0.3">
      <c r="C47" t="s">
        <v>489</v>
      </c>
      <c r="D47">
        <f>D45*D46</f>
        <v>1.7000000000000002</v>
      </c>
      <c r="L47" t="s">
        <v>723</v>
      </c>
      <c r="M47" s="162">
        <f>M46/D45</f>
        <v>0</v>
      </c>
      <c r="N47" s="163">
        <f>N46/D47</f>
        <v>0</v>
      </c>
      <c r="O47" t="s">
        <v>344</v>
      </c>
      <c r="Y47" t="s">
        <v>300</v>
      </c>
    </row>
    <row r="48" spans="2:25" x14ac:dyDescent="0.3">
      <c r="C48" t="s">
        <v>478</v>
      </c>
      <c r="D48">
        <f>Lähtötiedot!D47</f>
        <v>0.5</v>
      </c>
      <c r="M48" s="161"/>
      <c r="N48" s="161"/>
    </row>
    <row r="49" spans="2:25" x14ac:dyDescent="0.3">
      <c r="C49" t="s">
        <v>482</v>
      </c>
      <c r="D49">
        <f>D48/D45</f>
        <v>0.17857142857142858</v>
      </c>
      <c r="E49" t="s">
        <v>483</v>
      </c>
      <c r="M49" s="161"/>
      <c r="N49" s="161"/>
    </row>
    <row r="50" spans="2:25" x14ac:dyDescent="0.3">
      <c r="L50" t="s">
        <v>513</v>
      </c>
      <c r="N50">
        <f>RavinnetaseP!J43</f>
        <v>7.881779227203733</v>
      </c>
      <c r="O50" t="s">
        <v>514</v>
      </c>
    </row>
    <row r="51" spans="2:25" x14ac:dyDescent="0.3">
      <c r="B51" t="s">
        <v>15</v>
      </c>
      <c r="I51" s="3"/>
      <c r="L51" t="s">
        <v>690</v>
      </c>
      <c r="M51" s="14"/>
      <c r="N51" s="13">
        <f>(K42-N41-N43)</f>
        <v>141.01511420337107</v>
      </c>
      <c r="O51" t="s">
        <v>782</v>
      </c>
      <c r="Q51" t="s">
        <v>787</v>
      </c>
      <c r="Y51" t="s">
        <v>300</v>
      </c>
    </row>
    <row r="52" spans="2:25" x14ac:dyDescent="0.3">
      <c r="B52" t="s">
        <v>12</v>
      </c>
      <c r="L52" t="s">
        <v>790</v>
      </c>
      <c r="N52" s="280">
        <f>N41/D26</f>
        <v>49.398280902839602</v>
      </c>
      <c r="O52" t="s">
        <v>784</v>
      </c>
      <c r="Q52" s="271">
        <f>N52/D47</f>
        <v>29.057812295787997</v>
      </c>
      <c r="R52" t="s">
        <v>792</v>
      </c>
      <c r="Y52" t="s">
        <v>300</v>
      </c>
    </row>
    <row r="53" spans="2:25" x14ac:dyDescent="0.3">
      <c r="B53" t="s">
        <v>13</v>
      </c>
      <c r="M53" s="3"/>
      <c r="N53" s="281">
        <f>N43/D26</f>
        <v>0</v>
      </c>
      <c r="O53" t="s">
        <v>785</v>
      </c>
      <c r="Y53" t="s">
        <v>300</v>
      </c>
    </row>
    <row r="54" spans="2:25" ht="15" thickBot="1" x14ac:dyDescent="0.35">
      <c r="B54" t="s">
        <v>14</v>
      </c>
      <c r="M54" s="3"/>
      <c r="N54" s="283">
        <f>N42/D26</f>
        <v>170.60171909716038</v>
      </c>
      <c r="O54" t="s">
        <v>786</v>
      </c>
      <c r="Y54" t="s">
        <v>300</v>
      </c>
    </row>
    <row r="55" spans="2:25" ht="15" thickTop="1" x14ac:dyDescent="0.3">
      <c r="M55" s="3"/>
      <c r="N55" s="282">
        <f>SUM(N52:N54)</f>
        <v>220</v>
      </c>
      <c r="O55" t="s">
        <v>8</v>
      </c>
      <c r="Y55" t="s">
        <v>300</v>
      </c>
    </row>
    <row r="56" spans="2:25" x14ac:dyDescent="0.3">
      <c r="N56" s="2" t="s">
        <v>710</v>
      </c>
    </row>
    <row r="57" spans="2:25" x14ac:dyDescent="0.3">
      <c r="H57" s="2" t="s">
        <v>803</v>
      </c>
      <c r="N57" s="2"/>
    </row>
    <row r="58" spans="2:25" x14ac:dyDescent="0.3">
      <c r="I58" t="s">
        <v>5</v>
      </c>
      <c r="J58" t="s">
        <v>393</v>
      </c>
      <c r="K58" t="s">
        <v>561</v>
      </c>
      <c r="L58" t="s">
        <v>206</v>
      </c>
    </row>
    <row r="59" spans="2:25" x14ac:dyDescent="0.3">
      <c r="H59" t="s">
        <v>562</v>
      </c>
      <c r="I59" s="49">
        <f>D26</f>
        <v>0.82657498968730037</v>
      </c>
      <c r="J59" s="1">
        <f>I59*I68</f>
        <v>0.20821914686696244</v>
      </c>
      <c r="K59" s="1">
        <f>I59*J68</f>
        <v>5.9535305834271073E-2</v>
      </c>
      <c r="L59" s="1">
        <f>I59*K68</f>
        <v>0.55882053698606693</v>
      </c>
      <c r="O59" s="13"/>
    </row>
    <row r="60" spans="2:25" x14ac:dyDescent="0.3">
      <c r="H60" t="s">
        <v>563</v>
      </c>
      <c r="I60" s="49">
        <f>D29</f>
        <v>0.66760022074005665</v>
      </c>
      <c r="J60" s="1">
        <f>I72*$D$29</f>
        <v>6.383161608889372E-2</v>
      </c>
      <c r="K60" s="1">
        <f>J72*$D$29</f>
        <v>6.3732558139534901E-3</v>
      </c>
      <c r="L60" s="1">
        <f>K72*$D$29</f>
        <v>0.59739534883720935</v>
      </c>
      <c r="O60" s="13"/>
    </row>
    <row r="61" spans="2:25" x14ac:dyDescent="0.3">
      <c r="H61" t="s">
        <v>542</v>
      </c>
      <c r="I61" s="49">
        <f>D28</f>
        <v>0</v>
      </c>
      <c r="J61" s="1">
        <f>I76*I61</f>
        <v>0</v>
      </c>
      <c r="K61" s="1">
        <f>J76*I61</f>
        <v>0</v>
      </c>
      <c r="L61" s="1">
        <f>K72*I61</f>
        <v>0</v>
      </c>
      <c r="O61" s="13"/>
    </row>
    <row r="62" spans="2:25" x14ac:dyDescent="0.3">
      <c r="H62" t="s">
        <v>64</v>
      </c>
      <c r="I62" s="83">
        <f>D27</f>
        <v>3.0086717443587832E-2</v>
      </c>
      <c r="J62" s="10">
        <f>IF(Lähtötiedot!D38=0,0,I80*I62)</f>
        <v>2.3396924215192912E-2</v>
      </c>
      <c r="K62" s="10">
        <f>IF(Lähtötiedot!D39=0,0,J80*I62)</f>
        <v>6.6897932283949196E-3</v>
      </c>
      <c r="L62" s="10">
        <f>IF(Karja!D8=0,0,K80*I62)</f>
        <v>0</v>
      </c>
      <c r="O62" s="13"/>
    </row>
    <row r="63" spans="2:25" x14ac:dyDescent="0.3">
      <c r="I63" s="49">
        <f>SUM(I59:I62)</f>
        <v>1.5242619278709451</v>
      </c>
      <c r="J63" s="49">
        <f t="shared" ref="J63:L63" si="0">SUM(J59:J62)</f>
        <v>0.29544768717104908</v>
      </c>
      <c r="K63" s="49">
        <f t="shared" si="0"/>
        <v>7.2598354876619475E-2</v>
      </c>
      <c r="L63" s="49">
        <f t="shared" si="0"/>
        <v>1.1562158858232763</v>
      </c>
      <c r="M63" s="49">
        <f>SUM(J63:L63)</f>
        <v>1.5242619278709448</v>
      </c>
      <c r="N63" t="s">
        <v>801</v>
      </c>
      <c r="O63" s="13"/>
    </row>
    <row r="64" spans="2:25" x14ac:dyDescent="0.3">
      <c r="H64" s="49"/>
      <c r="J64" s="1">
        <f>J63*N4</f>
        <v>29.544768717104908</v>
      </c>
      <c r="K64" s="1">
        <f>K63*N4</f>
        <v>7.2598354876619471</v>
      </c>
      <c r="L64" s="1">
        <f>L63*N4</f>
        <v>115.62158858232763</v>
      </c>
      <c r="M64" s="1">
        <f>SUM(J64:L64)</f>
        <v>152.42619278709449</v>
      </c>
      <c r="N64" s="13" t="s">
        <v>802</v>
      </c>
    </row>
    <row r="65" spans="8:14" x14ac:dyDescent="0.3">
      <c r="H65" s="49"/>
      <c r="N65" s="13"/>
    </row>
    <row r="66" spans="8:14" x14ac:dyDescent="0.3">
      <c r="H66" s="15" t="s">
        <v>559</v>
      </c>
      <c r="I66" s="15" t="s">
        <v>393</v>
      </c>
      <c r="J66" s="15" t="s">
        <v>561</v>
      </c>
      <c r="K66" s="15" t="s">
        <v>206</v>
      </c>
      <c r="L66" s="15" t="s">
        <v>570</v>
      </c>
      <c r="N66" t="s">
        <v>564</v>
      </c>
    </row>
    <row r="67" spans="8:14" x14ac:dyDescent="0.3">
      <c r="H67" t="s">
        <v>560</v>
      </c>
      <c r="I67">
        <f>Karja!P31*N67</f>
        <v>136.87200665887852</v>
      </c>
      <c r="J67">
        <f>Karja!P30*N67</f>
        <v>39.13529038611027</v>
      </c>
      <c r="K67">
        <f>Karja!P29*N67</f>
        <v>367.33840000000009</v>
      </c>
      <c r="L67">
        <f>SUM(I67:K67)</f>
        <v>543.34569704498881</v>
      </c>
      <c r="N67">
        <f>1+D14</f>
        <v>1.1000000000000001</v>
      </c>
    </row>
    <row r="68" spans="8:14" x14ac:dyDescent="0.3">
      <c r="H68" t="s">
        <v>31</v>
      </c>
      <c r="I68">
        <f>I67/L67</f>
        <v>0.25190593650278886</v>
      </c>
      <c r="J68">
        <f>J67/L67</f>
        <v>7.2026502830425262E-2</v>
      </c>
      <c r="K68">
        <f>K67/L67</f>
        <v>0.67606756066678597</v>
      </c>
      <c r="N68" s="13"/>
    </row>
    <row r="69" spans="8:14" x14ac:dyDescent="0.3">
      <c r="N69" s="13"/>
    </row>
    <row r="70" spans="8:14" x14ac:dyDescent="0.3">
      <c r="H70" s="15" t="s">
        <v>568</v>
      </c>
      <c r="I70" s="15" t="s">
        <v>393</v>
      </c>
      <c r="J70" s="15" t="s">
        <v>561</v>
      </c>
      <c r="K70" s="15" t="s">
        <v>206</v>
      </c>
      <c r="L70" s="15" t="s">
        <v>570</v>
      </c>
      <c r="N70" s="13"/>
    </row>
    <row r="71" spans="8:14" x14ac:dyDescent="0.3">
      <c r="H71" t="s">
        <v>560</v>
      </c>
      <c r="I71">
        <f>Karja!K31*N6</f>
        <v>21.958075934579441</v>
      </c>
      <c r="J71">
        <f>Karja!K30*N6</f>
        <v>2.1924000000000001</v>
      </c>
      <c r="K71">
        <f>Karja!K29*N6</f>
        <v>205.50400000000002</v>
      </c>
      <c r="L71">
        <f>SUM(I71:K71)</f>
        <v>229.65447593457947</v>
      </c>
    </row>
    <row r="72" spans="8:14" x14ac:dyDescent="0.3">
      <c r="H72" t="s">
        <v>31</v>
      </c>
      <c r="I72">
        <f>I71/$L$71</f>
        <v>9.561353352779646E-2</v>
      </c>
      <c r="J72">
        <f>J71/$L$71</f>
        <v>9.5465154383689802E-3</v>
      </c>
      <c r="K72">
        <f>K71/$L$71</f>
        <v>0.89483995103383451</v>
      </c>
    </row>
    <row r="74" spans="8:14" x14ac:dyDescent="0.3">
      <c r="H74" s="15" t="s">
        <v>566</v>
      </c>
      <c r="I74" s="15" t="s">
        <v>393</v>
      </c>
      <c r="J74" s="15" t="s">
        <v>561</v>
      </c>
      <c r="K74" s="15" t="s">
        <v>206</v>
      </c>
      <c r="L74" s="15" t="s">
        <v>570</v>
      </c>
    </row>
    <row r="75" spans="8:14" x14ac:dyDescent="0.3">
      <c r="H75" t="s">
        <v>560</v>
      </c>
      <c r="I75">
        <f>I76*L75</f>
        <v>0</v>
      </c>
      <c r="J75">
        <f>J76*L75</f>
        <v>0</v>
      </c>
      <c r="K75">
        <f>K76*L75</f>
        <v>0</v>
      </c>
      <c r="L75" s="1">
        <f>D5</f>
        <v>0</v>
      </c>
    </row>
    <row r="76" spans="8:14" x14ac:dyDescent="0.3">
      <c r="H76" t="s">
        <v>31</v>
      </c>
      <c r="I76">
        <f>I72</f>
        <v>9.561353352779646E-2</v>
      </c>
      <c r="J76">
        <f t="shared" ref="J76" si="1">J72</f>
        <v>9.5465154383689802E-3</v>
      </c>
      <c r="K76">
        <f>K72</f>
        <v>0.89483995103383451</v>
      </c>
      <c r="N76" s="13"/>
    </row>
    <row r="77" spans="8:14" x14ac:dyDescent="0.3">
      <c r="N77" s="13"/>
    </row>
    <row r="78" spans="8:14" ht="15" customHeight="1" x14ac:dyDescent="0.3">
      <c r="H78" s="15" t="s">
        <v>567</v>
      </c>
      <c r="I78" s="15" t="s">
        <v>393</v>
      </c>
      <c r="J78" s="15" t="s">
        <v>561</v>
      </c>
      <c r="K78" s="15" t="s">
        <v>206</v>
      </c>
      <c r="L78" s="15" t="s">
        <v>570</v>
      </c>
      <c r="N78" t="s">
        <v>564</v>
      </c>
    </row>
    <row r="79" spans="8:14" ht="15" customHeight="1" x14ac:dyDescent="0.3">
      <c r="H79" t="s">
        <v>560</v>
      </c>
      <c r="I79">
        <f>Karja!O31</f>
        <v>13.825455218068537</v>
      </c>
      <c r="J79">
        <f>Karja!O30</f>
        <v>3.953059634960634</v>
      </c>
      <c r="K79">
        <f>Karja!O29</f>
        <v>0</v>
      </c>
      <c r="L79" s="1">
        <f>D4</f>
        <v>17.778514853029172</v>
      </c>
      <c r="N79">
        <f>1+D14</f>
        <v>1.1000000000000001</v>
      </c>
    </row>
    <row r="80" spans="8:14" ht="15" customHeight="1" x14ac:dyDescent="0.3">
      <c r="H80" t="s">
        <v>31</v>
      </c>
      <c r="I80">
        <f>I79/L79</f>
        <v>0.77764961428782686</v>
      </c>
      <c r="J80">
        <f>J79/L79</f>
        <v>0.22235038571217305</v>
      </c>
      <c r="K80">
        <f>K79/L79</f>
        <v>0</v>
      </c>
    </row>
    <row r="81" spans="1:1" ht="15" customHeight="1" x14ac:dyDescent="0.3"/>
    <row r="82" spans="1:1" ht="15" customHeight="1" x14ac:dyDescent="0.3"/>
    <row r="85" spans="1:1" x14ac:dyDescent="0.3">
      <c r="A85" t="s">
        <v>793</v>
      </c>
    </row>
    <row r="88" spans="1:1" s="149" customFormat="1" x14ac:dyDescent="0.3"/>
  </sheetData>
  <mergeCells count="2">
    <mergeCell ref="I23:K23"/>
    <mergeCell ref="M23:N23"/>
  </mergeCells>
  <pageMargins left="0.7" right="0.7" top="0.75" bottom="0.75" header="0.3" footer="0.3"/>
  <pageSetup paperSize="9" scale="55" orientation="landscape" horizontalDpi="300" verticalDpi="300"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ul6"/>
  <dimension ref="A1:X120"/>
  <sheetViews>
    <sheetView topLeftCell="G2" zoomScaleNormal="100" workbookViewId="0">
      <selection activeCell="Q17" sqref="Q17"/>
    </sheetView>
  </sheetViews>
  <sheetFormatPr defaultRowHeight="14.4" x14ac:dyDescent="0.3"/>
  <cols>
    <col min="1" max="1" width="7.5546875" customWidth="1"/>
    <col min="2" max="2" width="4.88671875" customWidth="1"/>
    <col min="3" max="3" width="8.88671875" customWidth="1"/>
    <col min="5" max="5" width="5.88671875" customWidth="1"/>
    <col min="7" max="7" width="14.44140625" customWidth="1"/>
    <col min="8" max="8" width="25.44140625" customWidth="1"/>
    <col min="9" max="9" width="11.109375" customWidth="1"/>
    <col min="10" max="10" width="9.5546875" bestFit="1" customWidth="1"/>
    <col min="11" max="11" width="4" customWidth="1"/>
    <col min="12" max="12" width="11.88671875" customWidth="1"/>
    <col min="13" max="13" width="10.6640625" customWidth="1"/>
    <col min="14" max="15" width="16.6640625" bestFit="1" customWidth="1"/>
    <col min="16" max="16" width="13.6640625" bestFit="1" customWidth="1"/>
    <col min="18" max="18" width="10.88671875" customWidth="1"/>
  </cols>
  <sheetData>
    <row r="1" spans="1:20" x14ac:dyDescent="0.3">
      <c r="D1" t="s">
        <v>432</v>
      </c>
      <c r="F1" s="68" t="s">
        <v>263</v>
      </c>
      <c r="J1" s="12"/>
      <c r="L1" t="s">
        <v>300</v>
      </c>
      <c r="M1" t="s">
        <v>300</v>
      </c>
      <c r="N1" t="s">
        <v>300</v>
      </c>
      <c r="O1" t="s">
        <v>300</v>
      </c>
      <c r="P1" t="s">
        <v>808</v>
      </c>
      <c r="Q1" t="s">
        <v>300</v>
      </c>
      <c r="R1" t="s">
        <v>300</v>
      </c>
    </row>
    <row r="2" spans="1:20" x14ac:dyDescent="0.3">
      <c r="E2" t="s">
        <v>22</v>
      </c>
      <c r="L2" t="s">
        <v>116</v>
      </c>
      <c r="M2" t="s">
        <v>116</v>
      </c>
      <c r="N2" t="s">
        <v>120</v>
      </c>
      <c r="O2" t="s">
        <v>120</v>
      </c>
      <c r="P2" t="s">
        <v>613</v>
      </c>
      <c r="Q2" t="s">
        <v>622</v>
      </c>
      <c r="R2" s="150" t="s">
        <v>71</v>
      </c>
    </row>
    <row r="3" spans="1:20" x14ac:dyDescent="0.3">
      <c r="E3" t="s">
        <v>118</v>
      </c>
      <c r="G3" s="12" t="s">
        <v>126</v>
      </c>
      <c r="I3" t="s">
        <v>300</v>
      </c>
      <c r="J3" t="s">
        <v>300</v>
      </c>
      <c r="L3" t="s">
        <v>117</v>
      </c>
      <c r="M3" t="s">
        <v>6</v>
      </c>
      <c r="N3" t="s">
        <v>117</v>
      </c>
      <c r="O3" t="s">
        <v>6</v>
      </c>
      <c r="P3" t="s">
        <v>117</v>
      </c>
      <c r="Q3" t="s">
        <v>6</v>
      </c>
      <c r="R3" s="150" t="s">
        <v>6</v>
      </c>
    </row>
    <row r="4" spans="1:20" x14ac:dyDescent="0.3">
      <c r="E4" t="s">
        <v>118</v>
      </c>
      <c r="I4" s="15" t="s">
        <v>114</v>
      </c>
      <c r="J4" s="15" t="s">
        <v>115</v>
      </c>
      <c r="K4" s="15"/>
      <c r="L4" s="15" t="s">
        <v>73</v>
      </c>
      <c r="M4" s="15" t="s">
        <v>118</v>
      </c>
      <c r="N4" s="15" t="s">
        <v>73</v>
      </c>
      <c r="O4" s="15" t="s">
        <v>118</v>
      </c>
      <c r="P4" s="15" t="s">
        <v>73</v>
      </c>
      <c r="Q4" s="15" t="s">
        <v>118</v>
      </c>
      <c r="R4" s="118" t="s">
        <v>118</v>
      </c>
    </row>
    <row r="5" spans="1:20" x14ac:dyDescent="0.3">
      <c r="H5" t="s">
        <v>881</v>
      </c>
      <c r="I5" s="172">
        <v>210</v>
      </c>
      <c r="J5" s="7">
        <f t="shared" ref="J5:J10" si="0">I5*0.16</f>
        <v>33.6</v>
      </c>
      <c r="K5" s="7"/>
      <c r="L5" s="161">
        <f>Karja!D9*Lähtötiedot!D8</f>
        <v>64.220000000000013</v>
      </c>
      <c r="M5" s="7"/>
      <c r="N5" s="7"/>
      <c r="O5" s="7"/>
      <c r="P5" s="161">
        <f>Karja!U26</f>
        <v>60</v>
      </c>
      <c r="Q5" s="122">
        <f>P5*J5/1000+Karja!J52</f>
        <v>2.4493056000000002</v>
      </c>
      <c r="R5" s="122">
        <f>Q5</f>
        <v>2.4493056000000002</v>
      </c>
      <c r="S5" s="2" t="s">
        <v>992</v>
      </c>
    </row>
    <row r="6" spans="1:20" x14ac:dyDescent="0.3">
      <c r="E6" t="s">
        <v>118</v>
      </c>
      <c r="H6" t="s">
        <v>743</v>
      </c>
      <c r="I6" s="81">
        <f>Karja!G6</f>
        <v>148</v>
      </c>
      <c r="J6">
        <f t="shared" si="0"/>
        <v>23.68</v>
      </c>
      <c r="L6" s="13">
        <f>Karja!P24</f>
        <v>3339.4400000000005</v>
      </c>
      <c r="M6" s="35">
        <f>J6/1000*L6</f>
        <v>79.077939200000017</v>
      </c>
      <c r="N6" s="13"/>
      <c r="O6" s="35"/>
      <c r="P6" s="44"/>
      <c r="Q6" s="35"/>
      <c r="R6" s="35">
        <f>M6</f>
        <v>79.077939200000017</v>
      </c>
    </row>
    <row r="7" spans="1:20" x14ac:dyDescent="0.3">
      <c r="H7" t="s">
        <v>744</v>
      </c>
      <c r="I7" s="81">
        <f>Karja!G7</f>
        <v>140</v>
      </c>
      <c r="J7">
        <f t="shared" si="0"/>
        <v>22.400000000000002</v>
      </c>
      <c r="L7" s="13" t="s">
        <v>300</v>
      </c>
      <c r="M7" s="35" t="s">
        <v>300</v>
      </c>
      <c r="N7" s="13">
        <f>Karja!P25</f>
        <v>355.77536714645703</v>
      </c>
      <c r="O7" s="35">
        <f>J7*N7/1000</f>
        <v>7.9693682240806387</v>
      </c>
      <c r="P7" s="44">
        <f>Karja!P26*Karja!D28</f>
        <v>1244.2909696261684</v>
      </c>
      <c r="Q7" s="35">
        <f>J7/1000*P7</f>
        <v>27.872117719626175</v>
      </c>
      <c r="R7" s="35">
        <f>O7+Q7</f>
        <v>35.841485943706815</v>
      </c>
    </row>
    <row r="8" spans="1:20" x14ac:dyDescent="0.3">
      <c r="E8" t="s">
        <v>118</v>
      </c>
      <c r="H8" t="s">
        <v>64</v>
      </c>
      <c r="I8" s="81">
        <f>Karja!G8</f>
        <v>100</v>
      </c>
      <c r="J8">
        <f t="shared" si="0"/>
        <v>16</v>
      </c>
      <c r="L8" s="13">
        <f>Karja!O24</f>
        <v>0</v>
      </c>
      <c r="M8" s="35">
        <f>J8/1000*L8</f>
        <v>0</v>
      </c>
      <c r="N8" s="13">
        <f>Karja!O25</f>
        <v>39.530596349606341</v>
      </c>
      <c r="O8" s="35">
        <f>J8*N8/1000</f>
        <v>0.63248954159370141</v>
      </c>
      <c r="P8" s="13">
        <f>Karja!O26*Karja!D28</f>
        <v>138.25455218068538</v>
      </c>
      <c r="Q8" s="35">
        <f>J8/1000*P8</f>
        <v>2.2120728348909662</v>
      </c>
      <c r="R8" s="35">
        <f t="shared" ref="R8:R10" si="1">M8+O8+Q8</f>
        <v>2.8445623764846677</v>
      </c>
    </row>
    <row r="9" spans="1:20" x14ac:dyDescent="0.3">
      <c r="E9" t="s">
        <v>118</v>
      </c>
      <c r="H9" t="s">
        <v>806</v>
      </c>
      <c r="I9" s="81">
        <f>Karja!G4</f>
        <v>121</v>
      </c>
      <c r="J9" s="3">
        <f t="shared" si="0"/>
        <v>19.36</v>
      </c>
      <c r="L9" s="13">
        <f>Karja!K24</f>
        <v>2055.0400000000004</v>
      </c>
      <c r="M9" s="35">
        <f>J9/1000*L9</f>
        <v>39.785574400000009</v>
      </c>
      <c r="N9" s="13">
        <f>Karja!K25</f>
        <v>21.923999999999999</v>
      </c>
      <c r="O9" s="35">
        <f>J9*N9/1000</f>
        <v>0.42444863999999993</v>
      </c>
      <c r="P9" s="13">
        <f>Karja!K26*Karja!D28</f>
        <v>219.58075934579441</v>
      </c>
      <c r="Q9" s="35">
        <f>J9/1000*P9</f>
        <v>4.2510835009345795</v>
      </c>
      <c r="R9" s="35">
        <f t="shared" si="1"/>
        <v>44.461106540934587</v>
      </c>
    </row>
    <row r="10" spans="1:20" x14ac:dyDescent="0.3">
      <c r="E10" t="s">
        <v>118</v>
      </c>
      <c r="H10" t="s">
        <v>35</v>
      </c>
      <c r="I10" s="82">
        <f>Karja!G5</f>
        <v>379</v>
      </c>
      <c r="J10" s="19">
        <f t="shared" si="0"/>
        <v>60.64</v>
      </c>
      <c r="K10" s="15"/>
      <c r="L10" s="17">
        <f>Karja!L24</f>
        <v>834.86000000000013</v>
      </c>
      <c r="M10" s="34">
        <f>J10/1000*L10</f>
        <v>50.625910400000009</v>
      </c>
      <c r="N10" s="34">
        <f>Karja!L25</f>
        <v>5.4809999999999999</v>
      </c>
      <c r="O10" s="34">
        <f>J10*N10/1000</f>
        <v>0.33236784000000003</v>
      </c>
      <c r="P10" s="17">
        <f>Karja!L26*Karja!D28</f>
        <v>24.39786214953271</v>
      </c>
      <c r="Q10" s="34">
        <f>J10/1000*P10</f>
        <v>1.4794863607476636</v>
      </c>
      <c r="R10" s="34">
        <f t="shared" si="1"/>
        <v>52.437764600747677</v>
      </c>
    </row>
    <row r="11" spans="1:20" x14ac:dyDescent="0.3">
      <c r="E11" t="s">
        <v>118</v>
      </c>
      <c r="H11" s="20" t="s">
        <v>813</v>
      </c>
      <c r="L11" s="13">
        <f>SUM(L5:L10)</f>
        <v>6293.5600000000013</v>
      </c>
      <c r="M11" s="13">
        <f>SUM(M6:M10)</f>
        <v>169.48942400000004</v>
      </c>
      <c r="N11" s="13">
        <f>SUM(N6:N10)</f>
        <v>422.71096349606336</v>
      </c>
      <c r="O11" s="294">
        <f>SUM(O7:O10)</f>
        <v>9.3586742456743401</v>
      </c>
      <c r="P11" s="13">
        <f>SUM(P5:P10)</f>
        <v>1686.5241433021808</v>
      </c>
      <c r="Q11" s="35">
        <f>SUM(Q5:Q10)</f>
        <v>38.264066016199379</v>
      </c>
      <c r="R11" s="155">
        <f>SUM(R5:R10)</f>
        <v>217.11216426187377</v>
      </c>
    </row>
    <row r="12" spans="1:20" x14ac:dyDescent="0.3">
      <c r="E12" t="s">
        <v>424</v>
      </c>
      <c r="H12" s="20"/>
      <c r="L12" s="3"/>
      <c r="M12" s="3"/>
      <c r="N12" s="3"/>
      <c r="O12" s="120"/>
      <c r="P12" s="49"/>
      <c r="Q12" s="3"/>
    </row>
    <row r="13" spans="1:20" x14ac:dyDescent="0.3">
      <c r="E13" t="s">
        <v>424</v>
      </c>
      <c r="H13" s="20"/>
      <c r="L13" s="270" t="s">
        <v>300</v>
      </c>
      <c r="M13" s="270" t="s">
        <v>300</v>
      </c>
      <c r="N13" s="270" t="s">
        <v>300</v>
      </c>
      <c r="O13" s="270" t="s">
        <v>300</v>
      </c>
      <c r="P13" s="270" t="s">
        <v>300</v>
      </c>
      <c r="Q13" s="270" t="s">
        <v>300</v>
      </c>
      <c r="R13" s="270" t="s">
        <v>300</v>
      </c>
    </row>
    <row r="14" spans="1:20" x14ac:dyDescent="0.3">
      <c r="A14" t="s">
        <v>431</v>
      </c>
      <c r="E14" t="s">
        <v>388</v>
      </c>
      <c r="G14" s="12" t="s">
        <v>127</v>
      </c>
      <c r="H14" s="20"/>
      <c r="L14" s="1" t="s">
        <v>116</v>
      </c>
      <c r="M14" s="1" t="s">
        <v>116</v>
      </c>
      <c r="N14" s="48" t="s">
        <v>120</v>
      </c>
      <c r="O14" s="1" t="s">
        <v>120</v>
      </c>
      <c r="P14" t="s">
        <v>625</v>
      </c>
      <c r="Q14" s="1" t="s">
        <v>625</v>
      </c>
      <c r="R14" s="1" t="s">
        <v>71</v>
      </c>
    </row>
    <row r="15" spans="1:20" x14ac:dyDescent="0.3">
      <c r="A15" t="s">
        <v>433</v>
      </c>
      <c r="B15" t="s">
        <v>814</v>
      </c>
      <c r="E15" t="s">
        <v>388</v>
      </c>
      <c r="I15" s="15"/>
      <c r="J15" s="15"/>
      <c r="K15" s="15"/>
      <c r="L15" s="15" t="s">
        <v>121</v>
      </c>
      <c r="M15" s="15" t="s">
        <v>128</v>
      </c>
      <c r="N15" s="15" t="s">
        <v>844</v>
      </c>
      <c r="O15" s="15" t="s">
        <v>128</v>
      </c>
      <c r="P15" s="15" t="s">
        <v>121</v>
      </c>
      <c r="Q15" s="15" t="s">
        <v>212</v>
      </c>
      <c r="R15" s="57" t="s">
        <v>872</v>
      </c>
    </row>
    <row r="16" spans="1:20" x14ac:dyDescent="0.3">
      <c r="A16" s="3">
        <f>M16*1000/Lähtötiedot!D8</f>
        <v>162.78672</v>
      </c>
      <c r="B16" s="3">
        <f>Funktiot!C30</f>
        <v>162.78672</v>
      </c>
      <c r="E16" t="s">
        <v>388</v>
      </c>
      <c r="H16" t="s">
        <v>834</v>
      </c>
      <c r="J16" s="3"/>
      <c r="L16" s="176">
        <f>Sulamaton_Diet*L11</f>
        <v>1749.6096800000005</v>
      </c>
      <c r="M16" s="176">
        <f>Funktiot!C30/1000*Lähtötiedot!D8</f>
        <v>52.270815792</v>
      </c>
      <c r="N16" s="176">
        <f>Sulamaton_umpi*N11</f>
        <v>131.04039868377967</v>
      </c>
      <c r="O16" s="293">
        <f>Funktiot!C32/1000*Karja!D35</f>
        <v>2.8967858885580284</v>
      </c>
      <c r="P16" s="295">
        <f>Funktiot!C7*P11</f>
        <v>468.85371183800629</v>
      </c>
      <c r="Q16" s="297">
        <f>IF(Lähtötiedot!D6=0,0,I101*Karja!D28+I95)</f>
        <v>12.800894145014329</v>
      </c>
      <c r="R16" s="3">
        <f>M16+O16+Q16</f>
        <v>67.968495825572361</v>
      </c>
      <c r="T16" t="s">
        <v>968</v>
      </c>
    </row>
    <row r="17" spans="1:24" x14ac:dyDescent="0.3">
      <c r="A17" s="3">
        <f>M17*1000/Lähtötiedot!D8</f>
        <v>216.94411940855741</v>
      </c>
      <c r="B17" s="3">
        <f>Funktiot!C31</f>
        <v>215.51072000000002</v>
      </c>
      <c r="E17" t="s">
        <v>388</v>
      </c>
      <c r="H17" t="s">
        <v>835</v>
      </c>
      <c r="J17" s="3"/>
      <c r="L17" s="176">
        <f>I69</f>
        <v>340.37062576660003</v>
      </c>
      <c r="M17" s="176">
        <f>M11-M16-M23</f>
        <v>69.660756742087784</v>
      </c>
      <c r="N17" s="176">
        <f>I76</f>
        <v>30.355738016870568</v>
      </c>
      <c r="O17" s="293">
        <f>O11-O16-O19</f>
        <v>5.4521883571163121</v>
      </c>
      <c r="P17" s="296">
        <f>I83*Karja!D28+I89</f>
        <v>128.33464126406147</v>
      </c>
      <c r="Q17" s="297">
        <f>Q11-Q16-Q19</f>
        <v>20.917401037851718</v>
      </c>
      <c r="R17" s="49">
        <f>M17+O17+Q17</f>
        <v>96.030346137055815</v>
      </c>
      <c r="T17" s="2"/>
    </row>
    <row r="18" spans="1:24" x14ac:dyDescent="0.3">
      <c r="E18" t="s">
        <v>388</v>
      </c>
      <c r="H18" t="s">
        <v>836</v>
      </c>
      <c r="L18" s="176">
        <f>L17+L16</f>
        <v>2089.9803057666004</v>
      </c>
      <c r="M18" s="176">
        <f>M16+M17</f>
        <v>121.93157253408779</v>
      </c>
      <c r="N18" s="176">
        <f>N17+N16</f>
        <v>161.39613670065023</v>
      </c>
      <c r="O18" s="293">
        <f>O17+O16</f>
        <v>8.3489742456743414</v>
      </c>
      <c r="P18" s="296">
        <f>P16+P17</f>
        <v>597.18835310206782</v>
      </c>
      <c r="Q18" s="3"/>
    </row>
    <row r="19" spans="1:24" x14ac:dyDescent="0.3">
      <c r="E19" t="s">
        <v>388</v>
      </c>
      <c r="H19" t="s">
        <v>211</v>
      </c>
      <c r="L19" s="3"/>
      <c r="M19" s="3"/>
      <c r="N19" s="3"/>
      <c r="O19" s="48">
        <f>0.023*Lähtötiedot!D9</f>
        <v>1.0096999999999994</v>
      </c>
      <c r="P19" s="3"/>
      <c r="Q19" s="1">
        <f>Funktiot!C15*365/1000*Karja!D28</f>
        <v>4.5457708333333331</v>
      </c>
      <c r="S19" t="s">
        <v>623</v>
      </c>
    </row>
    <row r="20" spans="1:24" x14ac:dyDescent="0.3">
      <c r="E20" t="s">
        <v>388</v>
      </c>
      <c r="G20" t="s">
        <v>7</v>
      </c>
      <c r="H20" t="s">
        <v>457</v>
      </c>
      <c r="J20" s="2" t="s">
        <v>832</v>
      </c>
      <c r="L20" s="3"/>
      <c r="M20" s="47">
        <f>(Karja!D23*Elopaino*N_ruho/100)</f>
        <v>5.6874999999999991</v>
      </c>
      <c r="N20" s="1"/>
      <c r="O20" s="197"/>
      <c r="P20" s="3"/>
      <c r="Q20" s="3"/>
    </row>
    <row r="21" spans="1:24" x14ac:dyDescent="0.3">
      <c r="E21" t="s">
        <v>388</v>
      </c>
      <c r="G21" t="s">
        <v>7</v>
      </c>
      <c r="H21" t="s">
        <v>458</v>
      </c>
      <c r="J21" s="2"/>
      <c r="L21" s="3"/>
      <c r="M21" s="47"/>
      <c r="N21" s="1"/>
      <c r="O21" s="1"/>
      <c r="P21" s="3"/>
      <c r="Q21" s="3"/>
    </row>
    <row r="22" spans="1:24" x14ac:dyDescent="0.3">
      <c r="E22" t="s">
        <v>388</v>
      </c>
      <c r="G22" t="s">
        <v>7</v>
      </c>
      <c r="H22" t="s">
        <v>123</v>
      </c>
      <c r="J22" s="2" t="s">
        <v>832</v>
      </c>
      <c r="L22" s="3"/>
      <c r="M22" s="47">
        <f>N_ruho/100*(VasikanPaino*S22)</f>
        <v>1.0237500000000002</v>
      </c>
      <c r="N22" s="1"/>
      <c r="O22" s="1"/>
      <c r="P22" s="3"/>
      <c r="Q22" s="3"/>
      <c r="S22" s="81">
        <f>0.9*(0.5+0.5-Lähtötiedot!D6)</f>
        <v>0.58500000000000008</v>
      </c>
      <c r="T22" s="81" t="s">
        <v>131</v>
      </c>
      <c r="U22" s="81"/>
      <c r="V22" s="81"/>
      <c r="W22" s="81"/>
      <c r="X22" s="81"/>
    </row>
    <row r="23" spans="1:24" x14ac:dyDescent="0.3">
      <c r="E23" t="s">
        <v>388</v>
      </c>
      <c r="G23" t="s">
        <v>7</v>
      </c>
      <c r="H23" t="s">
        <v>455</v>
      </c>
      <c r="I23" s="15"/>
      <c r="J23" s="15"/>
      <c r="K23" s="15"/>
      <c r="L23" s="15"/>
      <c r="M23" s="19">
        <f>0.157*Lähtötiedot!D21/1000*maito_vuosituotos</f>
        <v>47.55785146591225</v>
      </c>
      <c r="N23" s="19"/>
      <c r="O23" s="19"/>
      <c r="P23" s="15"/>
      <c r="Q23" s="15"/>
    </row>
    <row r="24" spans="1:24" x14ac:dyDescent="0.3">
      <c r="E24" t="s">
        <v>424</v>
      </c>
      <c r="H24" s="20" t="s">
        <v>452</v>
      </c>
      <c r="L24" s="3"/>
      <c r="M24" s="3">
        <f>M18+M23</f>
        <v>169.48942400000004</v>
      </c>
      <c r="N24" s="3"/>
      <c r="O24" s="1">
        <f>O18+O19</f>
        <v>9.3586742456743401</v>
      </c>
      <c r="P24" s="3"/>
      <c r="Q24" s="1">
        <f>Q16+Q17+Q19</f>
        <v>38.264066016199379</v>
      </c>
    </row>
    <row r="25" spans="1:24" x14ac:dyDescent="0.3">
      <c r="N25" s="3"/>
      <c r="O25" s="1"/>
      <c r="P25" s="3"/>
      <c r="Q25" s="1"/>
    </row>
    <row r="26" spans="1:24" x14ac:dyDescent="0.3">
      <c r="H26" s="230" t="s">
        <v>730</v>
      </c>
      <c r="L26" s="3"/>
      <c r="M26" s="229">
        <f>M23/M11</f>
        <v>0.28059480257548247</v>
      </c>
      <c r="N26" s="3"/>
      <c r="O26" s="1"/>
      <c r="P26" s="3"/>
      <c r="Q26" s="1"/>
    </row>
    <row r="27" spans="1:24" x14ac:dyDescent="0.3">
      <c r="E27" t="s">
        <v>424</v>
      </c>
      <c r="H27" s="200" t="s">
        <v>946</v>
      </c>
      <c r="M27" s="229">
        <f>SUM(J47:J49)/SUM(I42:I46)</f>
        <v>0.24655255836821338</v>
      </c>
      <c r="N27" s="3" t="s">
        <v>969</v>
      </c>
      <c r="O27" s="3"/>
    </row>
    <row r="28" spans="1:24" x14ac:dyDescent="0.3">
      <c r="M28" s="49"/>
      <c r="N28" s="3"/>
      <c r="O28" s="3"/>
    </row>
    <row r="29" spans="1:24" x14ac:dyDescent="0.3">
      <c r="E29" t="s">
        <v>424</v>
      </c>
      <c r="G29" s="12" t="s">
        <v>133</v>
      </c>
      <c r="O29" s="146"/>
      <c r="Q29" s="3"/>
    </row>
    <row r="30" spans="1:24" x14ac:dyDescent="0.3">
      <c r="G30" s="12"/>
      <c r="H30" t="s">
        <v>943</v>
      </c>
      <c r="I30" s="3">
        <f>1000*M16/L16</f>
        <v>29.875701071795618</v>
      </c>
      <c r="J30" t="s">
        <v>942</v>
      </c>
      <c r="O30" s="146"/>
      <c r="Q30" s="3"/>
    </row>
    <row r="31" spans="1:24" x14ac:dyDescent="0.3">
      <c r="E31" t="s">
        <v>424</v>
      </c>
      <c r="H31" t="s">
        <v>135</v>
      </c>
      <c r="I31" s="3">
        <f>R16+R17</f>
        <v>163.99884196262818</v>
      </c>
      <c r="J31" t="s">
        <v>772</v>
      </c>
      <c r="M31" s="3"/>
      <c r="O31" s="3"/>
    </row>
    <row r="32" spans="1:24" x14ac:dyDescent="0.3">
      <c r="H32" t="s">
        <v>873</v>
      </c>
      <c r="I32" s="3">
        <f>M20+M22</f>
        <v>6.7112499999999997</v>
      </c>
      <c r="M32" s="3"/>
      <c r="O32" s="3"/>
    </row>
    <row r="33" spans="5:18" x14ac:dyDescent="0.3">
      <c r="E33" t="s">
        <v>424</v>
      </c>
      <c r="H33" t="s">
        <v>134</v>
      </c>
      <c r="I33" s="15">
        <f>Lähtötiedot!D5</f>
        <v>100</v>
      </c>
      <c r="J33" s="15"/>
      <c r="M33" s="3"/>
    </row>
    <row r="34" spans="5:18" x14ac:dyDescent="0.3">
      <c r="E34" t="s">
        <v>424</v>
      </c>
      <c r="H34" t="s">
        <v>136</v>
      </c>
      <c r="I34" s="24">
        <f>I33*(I31-I32)</f>
        <v>15728.759196262818</v>
      </c>
      <c r="J34" s="12" t="s">
        <v>0</v>
      </c>
      <c r="M34" s="50"/>
      <c r="N34" s="298"/>
      <c r="O34" s="41"/>
      <c r="R34" s="138"/>
    </row>
    <row r="35" spans="5:18" x14ac:dyDescent="0.3">
      <c r="E35" t="s">
        <v>424</v>
      </c>
      <c r="H35" s="138" t="s">
        <v>422</v>
      </c>
      <c r="I35" s="147">
        <f>I34-I36</f>
        <v>13179.01232501236</v>
      </c>
      <c r="J35" t="s">
        <v>874</v>
      </c>
      <c r="M35" s="50"/>
      <c r="N35" s="53"/>
      <c r="O35" s="2"/>
      <c r="Q35" s="3"/>
    </row>
    <row r="36" spans="5:18" x14ac:dyDescent="0.3">
      <c r="G36" s="2"/>
      <c r="H36" s="138" t="s">
        <v>665</v>
      </c>
      <c r="I36" s="147">
        <f>Ammoniakki!E11</f>
        <v>2549.7468712504578</v>
      </c>
      <c r="J36" t="s">
        <v>773</v>
      </c>
      <c r="N36" s="1"/>
      <c r="Q36" s="3"/>
    </row>
    <row r="37" spans="5:18" x14ac:dyDescent="0.3">
      <c r="G37" s="2"/>
      <c r="H37" s="138" t="s">
        <v>847</v>
      </c>
      <c r="I37" s="147">
        <f>I35/Lähtötiedot!D45</f>
        <v>4706.7901160758429</v>
      </c>
      <c r="J37" t="s">
        <v>951</v>
      </c>
      <c r="N37" s="1"/>
      <c r="Q37" s="3"/>
    </row>
    <row r="38" spans="5:18" x14ac:dyDescent="0.3">
      <c r="G38" s="2"/>
      <c r="H38" s="138" t="s">
        <v>952</v>
      </c>
      <c r="I38" s="147">
        <f>Tulokset2!R42</f>
        <v>3156.5533831486082</v>
      </c>
      <c r="J38" t="s">
        <v>954</v>
      </c>
      <c r="N38" s="1"/>
      <c r="Q38" s="3"/>
    </row>
    <row r="39" spans="5:18" x14ac:dyDescent="0.3">
      <c r="G39" s="2"/>
      <c r="H39" s="138" t="s">
        <v>955</v>
      </c>
      <c r="I39" s="147">
        <f>Tulokset2!R41</f>
        <v>4.1751273383713601</v>
      </c>
      <c r="J39" t="s">
        <v>956</v>
      </c>
      <c r="N39" s="1"/>
      <c r="Q39" s="3"/>
    </row>
    <row r="40" spans="5:18" x14ac:dyDescent="0.3">
      <c r="E40" t="s">
        <v>424</v>
      </c>
    </row>
    <row r="41" spans="5:18" x14ac:dyDescent="0.3">
      <c r="E41" t="s">
        <v>424</v>
      </c>
      <c r="G41" s="12" t="s">
        <v>137</v>
      </c>
      <c r="I41" s="118" t="s">
        <v>9</v>
      </c>
      <c r="J41" s="15" t="s">
        <v>10</v>
      </c>
      <c r="O41" t="s">
        <v>547</v>
      </c>
      <c r="P41" t="s">
        <v>550</v>
      </c>
      <c r="Q41" t="s">
        <v>551</v>
      </c>
    </row>
    <row r="42" spans="5:18" x14ac:dyDescent="0.3">
      <c r="E42" t="s">
        <v>424</v>
      </c>
      <c r="H42" t="s">
        <v>138</v>
      </c>
      <c r="I42" s="13">
        <f>Pelto!P31</f>
        <v>16522.462454331649</v>
      </c>
      <c r="L42" t="s">
        <v>439</v>
      </c>
      <c r="O42" t="s">
        <v>548</v>
      </c>
      <c r="P42" t="s">
        <v>549</v>
      </c>
      <c r="Q42" t="s">
        <v>552</v>
      </c>
    </row>
    <row r="43" spans="5:18" x14ac:dyDescent="0.3">
      <c r="H43" t="s">
        <v>546</v>
      </c>
      <c r="I43" s="13">
        <f>O43*P43</f>
        <v>0</v>
      </c>
      <c r="O43" s="1">
        <f>Pelto!D5*1000</f>
        <v>0</v>
      </c>
      <c r="P43">
        <f>Karja!G4/1000</f>
        <v>0.121</v>
      </c>
      <c r="Q43">
        <f>P43*0.16</f>
        <v>1.9359999999999999E-2</v>
      </c>
    </row>
    <row r="44" spans="5:18" x14ac:dyDescent="0.3">
      <c r="E44" t="s">
        <v>424</v>
      </c>
      <c r="G44" t="s">
        <v>440</v>
      </c>
      <c r="H44" s="109" t="s">
        <v>351</v>
      </c>
      <c r="I44" s="13">
        <f>IF(Lähtötiedot!D2=1,0,RavinnetaseN!P49)</f>
        <v>0</v>
      </c>
      <c r="J44" s="2"/>
      <c r="K44" s="2"/>
      <c r="L44" s="109" t="s">
        <v>7</v>
      </c>
    </row>
    <row r="45" spans="5:18" x14ac:dyDescent="0.3">
      <c r="E45" t="s">
        <v>424</v>
      </c>
      <c r="G45" t="s">
        <v>300</v>
      </c>
      <c r="H45" t="s">
        <v>35</v>
      </c>
      <c r="I45" s="13">
        <f>J56*J57*0.16</f>
        <v>5243.7764600747678</v>
      </c>
      <c r="L45" t="s">
        <v>438</v>
      </c>
      <c r="O45" s="15" t="s">
        <v>349</v>
      </c>
      <c r="P45" s="15"/>
      <c r="Q45" s="15"/>
    </row>
    <row r="46" spans="5:18" x14ac:dyDescent="0.3">
      <c r="H46" t="s">
        <v>504</v>
      </c>
      <c r="I46" s="13">
        <f>R5*I33</f>
        <v>244.93056000000001</v>
      </c>
      <c r="L46" t="s">
        <v>438</v>
      </c>
      <c r="O46" t="s">
        <v>101</v>
      </c>
      <c r="P46" s="108">
        <f>IF(Lähtötiedot!D2=1,Pelto!D11*Lähtötiedot!D25,0)</f>
        <v>0</v>
      </c>
      <c r="Q46" t="s">
        <v>352</v>
      </c>
    </row>
    <row r="47" spans="5:18" x14ac:dyDescent="0.3">
      <c r="E47" t="s">
        <v>424</v>
      </c>
      <c r="H47" t="s">
        <v>143</v>
      </c>
      <c r="I47" s="151"/>
      <c r="J47" s="3">
        <f>I33*M23</f>
        <v>4755.7851465912254</v>
      </c>
      <c r="L47" t="s">
        <v>7</v>
      </c>
      <c r="O47" t="s">
        <v>353</v>
      </c>
      <c r="P47">
        <f>Funktiot!C28</f>
        <v>4</v>
      </c>
      <c r="Q47" t="s">
        <v>8</v>
      </c>
    </row>
    <row r="48" spans="5:18" x14ac:dyDescent="0.3">
      <c r="E48" t="s">
        <v>424</v>
      </c>
      <c r="H48" t="s">
        <v>142</v>
      </c>
      <c r="I48" s="151"/>
      <c r="J48" s="3">
        <f>M22*I33</f>
        <v>102.37500000000001</v>
      </c>
      <c r="L48" t="s">
        <v>7</v>
      </c>
      <c r="O48" t="s">
        <v>354</v>
      </c>
      <c r="P48">
        <f>Pelto!D26*Lähtötiedot!D5</f>
        <v>82.657498968730039</v>
      </c>
      <c r="Q48" t="s">
        <v>711</v>
      </c>
    </row>
    <row r="49" spans="5:18" x14ac:dyDescent="0.3">
      <c r="E49" t="s">
        <v>424</v>
      </c>
      <c r="H49" t="s">
        <v>144</v>
      </c>
      <c r="I49" s="15"/>
      <c r="J49" s="19">
        <f>M20*I33</f>
        <v>568.74999999999989</v>
      </c>
      <c r="L49" t="s">
        <v>7</v>
      </c>
      <c r="O49" t="s">
        <v>353</v>
      </c>
      <c r="P49">
        <f>P47*P48</f>
        <v>330.62999587492016</v>
      </c>
      <c r="Q49" t="s">
        <v>355</v>
      </c>
      <c r="R49" t="s">
        <v>356</v>
      </c>
    </row>
    <row r="50" spans="5:18" x14ac:dyDescent="0.3">
      <c r="H50" t="s">
        <v>71</v>
      </c>
      <c r="I50" s="26">
        <f>SUM(I42:I49)</f>
        <v>22011.169474406419</v>
      </c>
      <c r="J50" s="26">
        <f>SUM(J42:J49)</f>
        <v>5426.9101465912254</v>
      </c>
    </row>
    <row r="51" spans="5:18" x14ac:dyDescent="0.3">
      <c r="E51" t="s">
        <v>424</v>
      </c>
      <c r="H51" s="20" t="s">
        <v>145</v>
      </c>
      <c r="I51" s="7"/>
      <c r="J51" s="26">
        <f>SUM(I42:I46)-SUM(J47:J49)</f>
        <v>16584.259327815194</v>
      </c>
      <c r="L51" t="s">
        <v>146</v>
      </c>
    </row>
    <row r="52" spans="5:18" ht="15.6" x14ac:dyDescent="0.3">
      <c r="E52" t="s">
        <v>424</v>
      </c>
      <c r="J52" s="148">
        <f>J51/Pelto!D31</f>
        <v>108.80189962482181</v>
      </c>
      <c r="L52" s="2" t="s">
        <v>166</v>
      </c>
    </row>
    <row r="53" spans="5:18" x14ac:dyDescent="0.3">
      <c r="E53" t="s">
        <v>424</v>
      </c>
      <c r="J53" s="21">
        <f>I35/Funktiot!C19</f>
        <v>4706.7901160758429</v>
      </c>
      <c r="L53" s="12" t="s">
        <v>175</v>
      </c>
    </row>
    <row r="54" spans="5:18" x14ac:dyDescent="0.3">
      <c r="E54" t="s">
        <v>424</v>
      </c>
      <c r="J54" s="3">
        <f>Pelto!N46/Funktiot!C19</f>
        <v>0</v>
      </c>
      <c r="L54" t="s">
        <v>506</v>
      </c>
    </row>
    <row r="55" spans="5:18" x14ac:dyDescent="0.3">
      <c r="E55" t="s">
        <v>424</v>
      </c>
      <c r="J55" s="3"/>
    </row>
    <row r="56" spans="5:18" x14ac:dyDescent="0.3">
      <c r="E56" t="s">
        <v>424</v>
      </c>
      <c r="G56" t="s">
        <v>300</v>
      </c>
      <c r="H56" t="s">
        <v>139</v>
      </c>
      <c r="J56" s="3">
        <f>Karja!L32*1000</f>
        <v>86473.886214953294</v>
      </c>
      <c r="L56" t="s">
        <v>77</v>
      </c>
      <c r="P56" t="s">
        <v>291</v>
      </c>
      <c r="Q56" s="84">
        <v>303892</v>
      </c>
      <c r="R56" t="s">
        <v>290</v>
      </c>
    </row>
    <row r="57" spans="5:18" x14ac:dyDescent="0.3">
      <c r="E57" t="s">
        <v>424</v>
      </c>
      <c r="G57" t="s">
        <v>300</v>
      </c>
      <c r="H57" t="s">
        <v>141</v>
      </c>
      <c r="J57">
        <f>Karja!G5/1000</f>
        <v>0.379</v>
      </c>
      <c r="L57" t="s">
        <v>140</v>
      </c>
      <c r="P57" t="s">
        <v>291</v>
      </c>
      <c r="Q57">
        <f>Q56*100</f>
        <v>30389200</v>
      </c>
      <c r="R57" t="s">
        <v>5</v>
      </c>
    </row>
    <row r="58" spans="5:18" x14ac:dyDescent="0.3">
      <c r="E58" t="s">
        <v>424</v>
      </c>
      <c r="P58" t="s">
        <v>293</v>
      </c>
      <c r="Q58" s="3">
        <f>I31</f>
        <v>163.99884196262818</v>
      </c>
      <c r="R58" t="s">
        <v>295</v>
      </c>
    </row>
    <row r="59" spans="5:18" x14ac:dyDescent="0.3">
      <c r="E59" t="s">
        <v>424</v>
      </c>
      <c r="P59" t="s">
        <v>294</v>
      </c>
      <c r="Q59">
        <v>282000</v>
      </c>
    </row>
    <row r="60" spans="5:18" x14ac:dyDescent="0.3">
      <c r="E60" t="s">
        <v>424</v>
      </c>
      <c r="P60" t="s">
        <v>292</v>
      </c>
      <c r="Q60" s="1">
        <f>Q59*Q58/Q57</f>
        <v>1.521845702863555</v>
      </c>
      <c r="R60" t="s">
        <v>296</v>
      </c>
    </row>
    <row r="61" spans="5:18" s="15" customFormat="1" x14ac:dyDescent="0.3">
      <c r="E61" s="15" t="s">
        <v>424</v>
      </c>
    </row>
    <row r="64" spans="5:18" x14ac:dyDescent="0.3">
      <c r="H64" t="s">
        <v>827</v>
      </c>
      <c r="I64">
        <f>Karja!D11</f>
        <v>19.599999999999998</v>
      </c>
      <c r="J64" t="s">
        <v>501</v>
      </c>
    </row>
    <row r="65" spans="8:15" x14ac:dyDescent="0.3">
      <c r="H65" t="s">
        <v>828</v>
      </c>
      <c r="I65" s="3">
        <f>Karja!J11</f>
        <v>18.479591836734695</v>
      </c>
      <c r="J65" t="s">
        <v>203</v>
      </c>
    </row>
    <row r="66" spans="8:15" x14ac:dyDescent="0.3">
      <c r="H66" t="s">
        <v>830</v>
      </c>
      <c r="I66" s="1">
        <f>(2.7+0.053*(I65*I64))*1.03</f>
        <v>22.553498000000001</v>
      </c>
      <c r="J66" t="s">
        <v>501</v>
      </c>
    </row>
    <row r="67" spans="8:15" x14ac:dyDescent="0.3">
      <c r="H67" t="s">
        <v>122</v>
      </c>
      <c r="I67">
        <f>Ka_virtsavakio</f>
        <v>4.7E-2</v>
      </c>
      <c r="N67" s="1"/>
      <c r="O67" s="1"/>
    </row>
    <row r="68" spans="8:15" x14ac:dyDescent="0.3">
      <c r="H68" s="15" t="s">
        <v>829</v>
      </c>
      <c r="I68" s="10">
        <f>I67*I66</f>
        <v>1.0600144060000001</v>
      </c>
      <c r="J68" s="15" t="s">
        <v>842</v>
      </c>
      <c r="K68" s="15"/>
      <c r="N68" s="3"/>
    </row>
    <row r="69" spans="8:15" x14ac:dyDescent="0.3">
      <c r="H69" t="s">
        <v>831</v>
      </c>
      <c r="I69" s="3">
        <f>I68*Lähtötiedot!D8</f>
        <v>340.37062576660003</v>
      </c>
      <c r="J69" t="s">
        <v>843</v>
      </c>
    </row>
    <row r="70" spans="8:15" x14ac:dyDescent="0.3">
      <c r="O70" s="3"/>
    </row>
    <row r="71" spans="8:15" x14ac:dyDescent="0.3">
      <c r="H71" t="s">
        <v>838</v>
      </c>
      <c r="I71" s="1">
        <f>Karja!D34</f>
        <v>9.6289513324843643</v>
      </c>
      <c r="J71" t="s">
        <v>501</v>
      </c>
      <c r="O71" s="304"/>
    </row>
    <row r="72" spans="8:15" x14ac:dyDescent="0.3">
      <c r="H72" t="s">
        <v>839</v>
      </c>
      <c r="I72" s="3">
        <f>Karja!J12</f>
        <v>22.698283886765623</v>
      </c>
      <c r="J72" t="s">
        <v>203</v>
      </c>
    </row>
    <row r="73" spans="8:15" x14ac:dyDescent="0.3">
      <c r="H73" t="s">
        <v>885</v>
      </c>
      <c r="I73" s="1">
        <f>(2.7+0.053*(I72*I71))*1.03</f>
        <v>14.712227023152515</v>
      </c>
      <c r="J73" t="s">
        <v>501</v>
      </c>
    </row>
    <row r="74" spans="8:15" x14ac:dyDescent="0.3">
      <c r="H74" t="s">
        <v>122</v>
      </c>
      <c r="I74">
        <f>Ka_virtsavakio</f>
        <v>4.7E-2</v>
      </c>
    </row>
    <row r="75" spans="8:15" x14ac:dyDescent="0.3">
      <c r="H75" s="15" t="s">
        <v>829</v>
      </c>
      <c r="I75" s="10">
        <f>I74*I73</f>
        <v>0.69147467008816821</v>
      </c>
      <c r="J75" s="15" t="s">
        <v>842</v>
      </c>
      <c r="K75" s="15"/>
    </row>
    <row r="76" spans="8:15" x14ac:dyDescent="0.3">
      <c r="H76" t="s">
        <v>840</v>
      </c>
      <c r="I76" s="3">
        <f>I75*Lähtötiedot!D9</f>
        <v>30.355738016870568</v>
      </c>
      <c r="J76" t="s">
        <v>841</v>
      </c>
    </row>
    <row r="78" spans="8:15" x14ac:dyDescent="0.3">
      <c r="H78" t="s">
        <v>848</v>
      </c>
      <c r="I78" s="1">
        <f>Karja!D39</f>
        <v>6.2616822429906547</v>
      </c>
      <c r="J78" t="s">
        <v>501</v>
      </c>
    </row>
    <row r="79" spans="8:15" x14ac:dyDescent="0.3">
      <c r="H79" t="s">
        <v>849</v>
      </c>
      <c r="I79" s="3">
        <f>Karja!J13</f>
        <v>22.349</v>
      </c>
      <c r="J79" t="s">
        <v>203</v>
      </c>
    </row>
    <row r="80" spans="8:15" x14ac:dyDescent="0.3">
      <c r="H80" t="s">
        <v>850</v>
      </c>
      <c r="I80" s="1">
        <f>(2.7+0.053*(I79*I78))*1.03</f>
        <v>10.420452146728975</v>
      </c>
      <c r="J80" t="s">
        <v>501</v>
      </c>
    </row>
    <row r="81" spans="4:16" x14ac:dyDescent="0.3">
      <c r="H81" t="s">
        <v>122</v>
      </c>
      <c r="I81">
        <f>Ka_virtsavakio</f>
        <v>4.7E-2</v>
      </c>
    </row>
    <row r="82" spans="4:16" x14ac:dyDescent="0.3">
      <c r="H82" s="15" t="s">
        <v>829</v>
      </c>
      <c r="I82" s="10">
        <f>I81*I80</f>
        <v>0.48976125089626182</v>
      </c>
      <c r="J82" s="15" t="s">
        <v>842</v>
      </c>
      <c r="K82" s="15"/>
    </row>
    <row r="83" spans="4:16" x14ac:dyDescent="0.3">
      <c r="H83" t="s">
        <v>851</v>
      </c>
      <c r="I83" s="3">
        <f>I82*365</f>
        <v>178.76285657713558</v>
      </c>
      <c r="J83" t="s">
        <v>852</v>
      </c>
    </row>
    <row r="85" spans="4:16" x14ac:dyDescent="0.3">
      <c r="H85" s="12" t="s">
        <v>853</v>
      </c>
      <c r="I85" s="1">
        <f>Karja!D22*0.3*(60/365)</f>
        <v>4.9315068493150687</v>
      </c>
      <c r="J85" t="s">
        <v>854</v>
      </c>
    </row>
    <row r="86" spans="4:16" x14ac:dyDescent="0.3">
      <c r="H86" t="s">
        <v>856</v>
      </c>
      <c r="I86">
        <v>6.5</v>
      </c>
      <c r="J86" t="s">
        <v>855</v>
      </c>
    </row>
    <row r="87" spans="4:16" x14ac:dyDescent="0.3">
      <c r="H87" t="s">
        <v>856</v>
      </c>
      <c r="I87">
        <f>I86*365</f>
        <v>2372.5</v>
      </c>
      <c r="J87" t="s">
        <v>857</v>
      </c>
    </row>
    <row r="88" spans="4:16" x14ac:dyDescent="0.3">
      <c r="H88" t="s">
        <v>856</v>
      </c>
      <c r="I88" s="3">
        <f>I87*Ka_virtsavakio</f>
        <v>111.50749999999999</v>
      </c>
      <c r="J88" t="s">
        <v>858</v>
      </c>
    </row>
    <row r="89" spans="4:16" x14ac:dyDescent="0.3">
      <c r="H89" s="15" t="s">
        <v>856</v>
      </c>
      <c r="I89" s="10">
        <f>I88/Karja!D22</f>
        <v>1.115075</v>
      </c>
      <c r="J89" s="15" t="s">
        <v>861</v>
      </c>
      <c r="K89" s="15"/>
    </row>
    <row r="90" spans="4:16" x14ac:dyDescent="0.3">
      <c r="H90" t="s">
        <v>859</v>
      </c>
      <c r="I90" s="1">
        <f>I89*N_virtsa</f>
        <v>0.21186425</v>
      </c>
      <c r="J90" t="s">
        <v>860</v>
      </c>
    </row>
    <row r="91" spans="4:16" x14ac:dyDescent="0.3">
      <c r="I91" s="1"/>
    </row>
    <row r="92" spans="4:16" x14ac:dyDescent="0.3">
      <c r="H92" s="12" t="s">
        <v>853</v>
      </c>
      <c r="I92" s="1">
        <f>I85</f>
        <v>4.9315068493150687</v>
      </c>
      <c r="J92" s="1" t="str">
        <f>J85</f>
        <v>kpl paikalla vuoden jokaisena päivänä</v>
      </c>
    </row>
    <row r="93" spans="4:16" x14ac:dyDescent="0.3">
      <c r="D93">
        <f>D94*D96</f>
        <v>28</v>
      </c>
      <c r="H93" t="s">
        <v>869</v>
      </c>
      <c r="I93" s="1">
        <v>10</v>
      </c>
      <c r="J93" t="s">
        <v>870</v>
      </c>
    </row>
    <row r="94" spans="4:16" x14ac:dyDescent="0.3">
      <c r="D94">
        <v>350</v>
      </c>
      <c r="E94" t="s">
        <v>984</v>
      </c>
      <c r="H94" s="15" t="s">
        <v>869</v>
      </c>
      <c r="I94" s="10">
        <f>I93*365/1000</f>
        <v>3.65</v>
      </c>
      <c r="J94" s="15" t="s">
        <v>701</v>
      </c>
      <c r="K94" s="15"/>
      <c r="P94" s="303"/>
    </row>
    <row r="95" spans="4:16" x14ac:dyDescent="0.3">
      <c r="E95" s="2"/>
      <c r="H95" t="s">
        <v>869</v>
      </c>
      <c r="I95" s="1">
        <f>I94/Karja!D22</f>
        <v>3.6499999999999998E-2</v>
      </c>
      <c r="J95" t="s">
        <v>871</v>
      </c>
      <c r="P95">
        <f>0.4*365*U108</f>
        <v>851.66666666666663</v>
      </c>
    </row>
    <row r="96" spans="4:16" x14ac:dyDescent="0.3">
      <c r="D96">
        <v>0.08</v>
      </c>
      <c r="E96" t="s">
        <v>985</v>
      </c>
    </row>
    <row r="97" spans="4:21" x14ac:dyDescent="0.3">
      <c r="D97">
        <v>0.2</v>
      </c>
      <c r="E97" t="s">
        <v>986</v>
      </c>
      <c r="H97" s="12" t="s">
        <v>862</v>
      </c>
    </row>
    <row r="98" spans="4:21" x14ac:dyDescent="0.3">
      <c r="D98">
        <f>D94*D96/D97</f>
        <v>140</v>
      </c>
      <c r="E98" t="s">
        <v>987</v>
      </c>
      <c r="H98" t="s">
        <v>73</v>
      </c>
      <c r="I98" s="1">
        <f>Karja!D39</f>
        <v>6.2616822429906547</v>
      </c>
      <c r="J98" t="s">
        <v>842</v>
      </c>
    </row>
    <row r="99" spans="4:21" x14ac:dyDescent="0.3">
      <c r="D99">
        <f>D98/1000</f>
        <v>0.14000000000000001</v>
      </c>
      <c r="H99" t="s">
        <v>863</v>
      </c>
      <c r="I99" s="1">
        <f>Funktiot!C33</f>
        <v>7.8476511999999996</v>
      </c>
      <c r="J99" t="s">
        <v>864</v>
      </c>
    </row>
    <row r="100" spans="4:21" x14ac:dyDescent="0.3">
      <c r="H100" s="15" t="s">
        <v>863</v>
      </c>
      <c r="I100" s="19">
        <f>I99*I98</f>
        <v>49.1394981682243</v>
      </c>
      <c r="J100" s="15" t="s">
        <v>220</v>
      </c>
      <c r="K100" s="15"/>
    </row>
    <row r="101" spans="4:21" x14ac:dyDescent="0.3">
      <c r="H101" t="s">
        <v>863</v>
      </c>
      <c r="I101" s="1">
        <f>I100*365/1000</f>
        <v>17.935916831401869</v>
      </c>
      <c r="J101" t="s">
        <v>865</v>
      </c>
    </row>
    <row r="102" spans="4:21" x14ac:dyDescent="0.3">
      <c r="M102">
        <v>161</v>
      </c>
    </row>
    <row r="103" spans="4:21" x14ac:dyDescent="0.3">
      <c r="H103" s="12" t="s">
        <v>923</v>
      </c>
    </row>
    <row r="104" spans="4:21" x14ac:dyDescent="0.3">
      <c r="G104" t="s">
        <v>300</v>
      </c>
      <c r="H104" t="s">
        <v>882</v>
      </c>
      <c r="I104" s="3">
        <f>Karja!S29</f>
        <v>1249.7211999999997</v>
      </c>
      <c r="J104" t="s">
        <v>924</v>
      </c>
      <c r="P104" t="s">
        <v>919</v>
      </c>
    </row>
    <row r="105" spans="4:21" x14ac:dyDescent="0.3">
      <c r="G105" t="s">
        <v>300</v>
      </c>
      <c r="H105" t="s">
        <v>982</v>
      </c>
      <c r="I105" s="3">
        <f>Karja!S30</f>
        <v>93.600284774128326</v>
      </c>
      <c r="J105" t="s">
        <v>925</v>
      </c>
    </row>
    <row r="106" spans="4:21" x14ac:dyDescent="0.3">
      <c r="G106" t="s">
        <v>300</v>
      </c>
      <c r="H106" t="s">
        <v>983</v>
      </c>
      <c r="I106" s="3">
        <f>Karja!S31</f>
        <v>322.98122274143304</v>
      </c>
      <c r="J106" t="s">
        <v>926</v>
      </c>
      <c r="Q106" t="s">
        <v>903</v>
      </c>
      <c r="R106" t="s">
        <v>119</v>
      </c>
      <c r="T106" t="s">
        <v>895</v>
      </c>
      <c r="U106" t="s">
        <v>895</v>
      </c>
    </row>
    <row r="107" spans="4:21" x14ac:dyDescent="0.3">
      <c r="D107" t="s">
        <v>988</v>
      </c>
      <c r="G107" t="s">
        <v>300</v>
      </c>
      <c r="H107" t="s">
        <v>922</v>
      </c>
      <c r="I107" s="196">
        <f>0.4*365*U108/1000</f>
        <v>0.85166666666666668</v>
      </c>
      <c r="J107" t="s">
        <v>991</v>
      </c>
      <c r="P107" s="15"/>
      <c r="Q107" s="15" t="s">
        <v>277</v>
      </c>
      <c r="R107" s="15" t="s">
        <v>896</v>
      </c>
      <c r="S107" s="15" t="s">
        <v>31</v>
      </c>
      <c r="T107" s="15" t="s">
        <v>900</v>
      </c>
      <c r="U107" s="57" t="s">
        <v>913</v>
      </c>
    </row>
    <row r="108" spans="4:21" x14ac:dyDescent="0.3">
      <c r="G108" t="s">
        <v>300</v>
      </c>
      <c r="H108" t="s">
        <v>883</v>
      </c>
      <c r="I108" s="1">
        <f>Lähtötiedot!D8*I66*Lähtötiedot!D5/1000</f>
        <v>724.19282078000003</v>
      </c>
      <c r="J108" t="s">
        <v>927</v>
      </c>
      <c r="Q108">
        <v>2</v>
      </c>
      <c r="R108" t="s">
        <v>916</v>
      </c>
      <c r="S108" s="49">
        <f>Q108/Q111</f>
        <v>7.5757575757575746E-2</v>
      </c>
      <c r="T108" s="49">
        <f>S108*T111</f>
        <v>5.8333333333333327E-2</v>
      </c>
      <c r="U108">
        <f>T108*R115</f>
        <v>5.833333333333333</v>
      </c>
    </row>
    <row r="109" spans="4:21" x14ac:dyDescent="0.3">
      <c r="G109" t="s">
        <v>300</v>
      </c>
      <c r="H109" t="s">
        <v>884</v>
      </c>
      <c r="I109" s="1">
        <f>I73*Lähtötiedot!D9*Lähtötiedot!D5/1000</f>
        <v>64.586676631639506</v>
      </c>
      <c r="J109" t="s">
        <v>928</v>
      </c>
      <c r="R109" s="299" t="s">
        <v>917</v>
      </c>
      <c r="S109" s="49">
        <f>Q109/Q111</f>
        <v>0</v>
      </c>
      <c r="T109" s="49">
        <f>S109*T111</f>
        <v>0</v>
      </c>
      <c r="U109">
        <f>T109*R115</f>
        <v>0</v>
      </c>
    </row>
    <row r="110" spans="4:21" x14ac:dyDescent="0.3">
      <c r="H110" t="s">
        <v>886</v>
      </c>
      <c r="I110" s="1">
        <f>365*I80*Karja!D27/1000</f>
        <v>270.67992822140735</v>
      </c>
      <c r="J110" t="s">
        <v>929</v>
      </c>
      <c r="Q110" s="7">
        <f>Q111-Q108-Q109</f>
        <v>24.400000000000002</v>
      </c>
      <c r="R110" s="300" t="s">
        <v>918</v>
      </c>
      <c r="S110" s="83">
        <f>Q110/Q111</f>
        <v>0.9242424242424242</v>
      </c>
      <c r="T110" s="83">
        <f>S110*T111</f>
        <v>0.71166666666666667</v>
      </c>
      <c r="U110" s="15">
        <f>T110*R115</f>
        <v>71.166666666666671</v>
      </c>
    </row>
    <row r="111" spans="4:21" x14ac:dyDescent="0.3">
      <c r="D111" t="s">
        <v>989</v>
      </c>
      <c r="H111" t="s">
        <v>887</v>
      </c>
      <c r="I111" s="23">
        <f>U108*I86*365/1000</f>
        <v>13.839583333333332</v>
      </c>
      <c r="J111" t="s">
        <v>929</v>
      </c>
      <c r="L111" s="2"/>
      <c r="P111" s="301" t="s">
        <v>899</v>
      </c>
      <c r="Q111" s="302">
        <f>R116*12</f>
        <v>26.400000000000002</v>
      </c>
      <c r="S111" s="49">
        <f>SUM(S108:S110)</f>
        <v>1</v>
      </c>
      <c r="T111" s="49">
        <f>R114*Q111/12</f>
        <v>0.77</v>
      </c>
      <c r="U111">
        <f>SUM(U108:U110)</f>
        <v>77</v>
      </c>
    </row>
    <row r="112" spans="4:21" x14ac:dyDescent="0.3">
      <c r="H112" t="s">
        <v>978</v>
      </c>
      <c r="I112" s="3">
        <f>SUM(I104:I107)</f>
        <v>1667.1543741822277</v>
      </c>
      <c r="J112">
        <f>I112*Ka_So</f>
        <v>233.4016123855119</v>
      </c>
      <c r="K112" t="s">
        <v>980</v>
      </c>
    </row>
    <row r="113" spans="8:18" x14ac:dyDescent="0.3">
      <c r="H113" t="s">
        <v>979</v>
      </c>
      <c r="I113" s="1">
        <f>SUM(I108:I111)</f>
        <v>1073.2990089663804</v>
      </c>
      <c r="J113" s="3">
        <f>I113*Ka_virtsavakio</f>
        <v>50.445053421419878</v>
      </c>
      <c r="K113" t="s">
        <v>980</v>
      </c>
    </row>
    <row r="114" spans="8:18" x14ac:dyDescent="0.3">
      <c r="H114" t="s">
        <v>981</v>
      </c>
      <c r="I114" s="3">
        <f>I112+I113</f>
        <v>2740.4533831486078</v>
      </c>
      <c r="J114" s="3">
        <f>J112+J113</f>
        <v>283.84666580693175</v>
      </c>
      <c r="K114" t="s">
        <v>980</v>
      </c>
      <c r="Q114" t="s">
        <v>914</v>
      </c>
      <c r="R114" s="22">
        <f>Lähtötiedot!D6</f>
        <v>0.35</v>
      </c>
    </row>
    <row r="115" spans="8:18" x14ac:dyDescent="0.3">
      <c r="Q115" t="s">
        <v>875</v>
      </c>
      <c r="R115" s="22">
        <f>Lähtötiedot!D5</f>
        <v>100</v>
      </c>
    </row>
    <row r="116" spans="8:18" x14ac:dyDescent="0.3">
      <c r="H116" s="4" t="s">
        <v>909</v>
      </c>
      <c r="I116" s="305">
        <f>I104+I108</f>
        <v>1973.9140207799996</v>
      </c>
      <c r="J116" t="s">
        <v>83</v>
      </c>
      <c r="Q116" t="s">
        <v>915</v>
      </c>
      <c r="R116" s="22">
        <f>Lähtötiedot!D7</f>
        <v>2.2000000000000002</v>
      </c>
    </row>
    <row r="117" spans="8:18" x14ac:dyDescent="0.3">
      <c r="H117" s="6" t="s">
        <v>910</v>
      </c>
      <c r="I117" s="60">
        <f>I105+I109</f>
        <v>158.18696140576782</v>
      </c>
      <c r="J117" t="s">
        <v>83</v>
      </c>
    </row>
    <row r="118" spans="8:18" x14ac:dyDescent="0.3">
      <c r="H118" s="6" t="s">
        <v>911</v>
      </c>
      <c r="I118" s="60">
        <f>I106+I110</f>
        <v>593.66115096284034</v>
      </c>
      <c r="J118" t="s">
        <v>83</v>
      </c>
    </row>
    <row r="119" spans="8:18" x14ac:dyDescent="0.3">
      <c r="H119" s="9" t="s">
        <v>912</v>
      </c>
      <c r="I119" s="62">
        <f>I107+I111</f>
        <v>14.691249999999998</v>
      </c>
      <c r="J119" t="s">
        <v>83</v>
      </c>
    </row>
    <row r="120" spans="8:18" x14ac:dyDescent="0.3">
      <c r="I120" s="3">
        <f>SUM(I116:I119)</f>
        <v>2740.4533831486078</v>
      </c>
    </row>
  </sheetData>
  <autoFilter ref="E2:E61"/>
  <pageMargins left="0.7" right="0.7" top="0.75" bottom="0.75" header="0.3" footer="0.3"/>
  <pageSetup paperSize="9" orientation="portrait" horizontalDpi="300" verticalDpi="300" r:id="rId1"/>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S64"/>
  <sheetViews>
    <sheetView workbookViewId="0">
      <selection activeCell="E19" sqref="E19"/>
    </sheetView>
  </sheetViews>
  <sheetFormatPr defaultRowHeight="14.4" x14ac:dyDescent="0.3"/>
  <cols>
    <col min="3" max="3" width="20.44140625" customWidth="1"/>
    <col min="14" max="14" width="21.44140625" customWidth="1"/>
    <col min="19" max="19" width="23.109375" customWidth="1"/>
    <col min="20" max="22" width="7.5546875" customWidth="1"/>
    <col min="23" max="23" width="5.77734375" customWidth="1"/>
    <col min="24" max="24" width="15.5546875" customWidth="1"/>
    <col min="30" max="30" width="18.44140625" customWidth="1"/>
    <col min="31" max="31" width="10.44140625" customWidth="1"/>
    <col min="32" max="32" width="13.21875" customWidth="1"/>
    <col min="33" max="34" width="12.21875" customWidth="1"/>
  </cols>
  <sheetData>
    <row r="1" spans="1:28" x14ac:dyDescent="0.3">
      <c r="F1" t="s">
        <v>646</v>
      </c>
      <c r="J1" t="s">
        <v>947</v>
      </c>
      <c r="O1" t="s">
        <v>765</v>
      </c>
    </row>
    <row r="2" spans="1:28" x14ac:dyDescent="0.3">
      <c r="B2" t="s">
        <v>607</v>
      </c>
      <c r="E2" t="s">
        <v>607</v>
      </c>
      <c r="F2" s="15" t="s">
        <v>206</v>
      </c>
      <c r="G2" s="15" t="s">
        <v>561</v>
      </c>
      <c r="H2" s="15" t="s">
        <v>627</v>
      </c>
      <c r="J2" s="15" t="s">
        <v>206</v>
      </c>
      <c r="K2" s="15" t="s">
        <v>561</v>
      </c>
      <c r="L2" s="15" t="s">
        <v>627</v>
      </c>
      <c r="M2" s="85" t="s">
        <v>71</v>
      </c>
      <c r="O2" s="20" t="s">
        <v>1061</v>
      </c>
      <c r="P2" t="s">
        <v>1062</v>
      </c>
      <c r="R2" t="s">
        <v>1063</v>
      </c>
    </row>
    <row r="3" spans="1:28" x14ac:dyDescent="0.3">
      <c r="A3" t="s">
        <v>300</v>
      </c>
      <c r="B3">
        <v>11664.841665233631</v>
      </c>
      <c r="C3" t="s">
        <v>606</v>
      </c>
      <c r="E3" s="199">
        <f>SUM(F3:H3)</f>
        <v>9603.0346137055822</v>
      </c>
      <c r="F3" s="3">
        <f>RavinnetaseN!M17*Lähtötiedot!D5</f>
        <v>6966.0756742087788</v>
      </c>
      <c r="G3" s="3">
        <f>RavinnetaseN!O17*Lähtötiedot!D5</f>
        <v>545.21883571163119</v>
      </c>
      <c r="H3">
        <f>RavinnetaseN!Q17*Lähtötiedot!D5</f>
        <v>2091.7401037851719</v>
      </c>
      <c r="J3" s="3">
        <f>RavinnetaseN!M16*Lähtötiedot!D5</f>
        <v>5227.0815792000003</v>
      </c>
      <c r="K3" s="1">
        <f>RavinnetaseN!O16*Lähtötiedot!D5</f>
        <v>289.67858885580284</v>
      </c>
      <c r="L3" s="1">
        <f>RavinnetaseN!Q16*Lähtötiedot!D5</f>
        <v>1280.0894145014329</v>
      </c>
      <c r="M3" s="199">
        <f>SUM(J3:L3)</f>
        <v>6796.8495825572354</v>
      </c>
      <c r="N3" t="s">
        <v>1058</v>
      </c>
      <c r="O3">
        <v>55</v>
      </c>
      <c r="P3">
        <v>0</v>
      </c>
      <c r="Q3">
        <f>O3-(P3*O3)</f>
        <v>55</v>
      </c>
      <c r="R3">
        <v>0.2</v>
      </c>
      <c r="S3">
        <f>0.8*Q3</f>
        <v>44</v>
      </c>
    </row>
    <row r="4" spans="1:28" x14ac:dyDescent="0.3">
      <c r="A4" t="s">
        <v>300</v>
      </c>
      <c r="B4">
        <v>19366.231193918236</v>
      </c>
      <c r="C4" t="s">
        <v>649</v>
      </c>
      <c r="E4" s="199">
        <f>E3+M3</f>
        <v>16399.884196262818</v>
      </c>
      <c r="F4" s="3"/>
      <c r="G4" s="3"/>
      <c r="J4" s="3"/>
      <c r="K4" s="1"/>
      <c r="L4" s="1"/>
      <c r="M4" s="199"/>
      <c r="N4" t="s">
        <v>1059</v>
      </c>
      <c r="O4">
        <f>O3</f>
        <v>55</v>
      </c>
      <c r="P4">
        <v>0.78</v>
      </c>
      <c r="Q4">
        <f t="shared" ref="Q4:Q6" si="0">O4-(P4*O4)</f>
        <v>12.100000000000001</v>
      </c>
      <c r="R4">
        <v>0.2</v>
      </c>
      <c r="S4">
        <f t="shared" ref="S4:S6" si="1">0.8*Q4</f>
        <v>9.6800000000000015</v>
      </c>
    </row>
    <row r="5" spans="1:28" x14ac:dyDescent="0.3">
      <c r="N5" t="s">
        <v>1060</v>
      </c>
      <c r="O5">
        <f>O3</f>
        <v>55</v>
      </c>
      <c r="P5">
        <v>0.3</v>
      </c>
      <c r="Q5">
        <f t="shared" si="0"/>
        <v>38.5</v>
      </c>
      <c r="R5">
        <v>0.2</v>
      </c>
      <c r="S5">
        <f t="shared" si="1"/>
        <v>30.8</v>
      </c>
    </row>
    <row r="6" spans="1:28" x14ac:dyDescent="0.3">
      <c r="B6" t="s">
        <v>647</v>
      </c>
      <c r="C6" t="s">
        <v>601</v>
      </c>
      <c r="E6" s="15" t="s">
        <v>647</v>
      </c>
      <c r="F6" s="15" t="s">
        <v>650</v>
      </c>
      <c r="N6" t="s">
        <v>1065</v>
      </c>
      <c r="O6">
        <v>55</v>
      </c>
      <c r="P6">
        <v>0.7</v>
      </c>
      <c r="Q6">
        <f t="shared" si="0"/>
        <v>16.5</v>
      </c>
      <c r="R6">
        <v>0.2</v>
      </c>
      <c r="S6">
        <f t="shared" si="1"/>
        <v>13.200000000000001</v>
      </c>
    </row>
    <row r="7" spans="1:28" x14ac:dyDescent="0.3">
      <c r="C7" t="s">
        <v>1029</v>
      </c>
      <c r="D7" t="s">
        <v>721</v>
      </c>
      <c r="E7" s="1">
        <f>SUM(E8:E10)</f>
        <v>3292.1122505186991</v>
      </c>
      <c r="F7" s="1">
        <f>SUM(F8:F10)</f>
        <v>5952.2548595632315</v>
      </c>
    </row>
    <row r="8" spans="1:28" x14ac:dyDescent="0.3">
      <c r="B8">
        <v>2099.671499742054</v>
      </c>
      <c r="C8" t="s">
        <v>602</v>
      </c>
      <c r="D8" t="s">
        <v>0</v>
      </c>
      <c r="E8" s="1">
        <f>E22</f>
        <v>1728.5462304670048</v>
      </c>
      <c r="F8" s="1">
        <f>E8</f>
        <v>1728.5462304670048</v>
      </c>
      <c r="H8" s="2"/>
    </row>
    <row r="9" spans="1:28" x14ac:dyDescent="0.3">
      <c r="A9" t="s">
        <v>300</v>
      </c>
      <c r="B9">
        <v>1066.1230148379359</v>
      </c>
      <c r="C9" t="s">
        <v>603</v>
      </c>
      <c r="D9" t="s">
        <v>0</v>
      </c>
      <c r="E9" s="1">
        <f>E27</f>
        <v>821.20064078345297</v>
      </c>
      <c r="F9" s="1">
        <f t="shared" ref="F9" si="2">E9</f>
        <v>821.20064078345297</v>
      </c>
      <c r="N9" t="s">
        <v>970</v>
      </c>
    </row>
    <row r="10" spans="1:28" x14ac:dyDescent="0.3">
      <c r="A10" t="s">
        <v>300</v>
      </c>
      <c r="B10">
        <v>803.146004511245</v>
      </c>
      <c r="C10" t="s">
        <v>604</v>
      </c>
      <c r="D10" t="s">
        <v>0</v>
      </c>
      <c r="E10" s="1">
        <f>E33</f>
        <v>742.36537926824133</v>
      </c>
      <c r="F10" s="1">
        <f>E39</f>
        <v>3402.5079883127737</v>
      </c>
      <c r="N10" t="s">
        <v>699</v>
      </c>
      <c r="O10" s="7"/>
      <c r="P10" s="7"/>
      <c r="Q10" s="7"/>
      <c r="T10" s="7"/>
      <c r="U10" s="7"/>
      <c r="V10" s="7"/>
    </row>
    <row r="11" spans="1:28" x14ac:dyDescent="0.3">
      <c r="A11" t="s">
        <v>300</v>
      </c>
      <c r="B11">
        <v>3165.7945145799899</v>
      </c>
      <c r="C11" t="s">
        <v>725</v>
      </c>
      <c r="D11" t="s">
        <v>663</v>
      </c>
      <c r="E11" s="1">
        <f>E8+E9</f>
        <v>2549.7468712504578</v>
      </c>
      <c r="F11" s="1">
        <f>F8+F9</f>
        <v>2549.7468712504578</v>
      </c>
      <c r="G11" t="s">
        <v>948</v>
      </c>
      <c r="N11" s="7"/>
      <c r="O11" s="7"/>
      <c r="P11" s="7"/>
      <c r="Q11" s="7"/>
      <c r="S11" s="7"/>
      <c r="T11" s="7"/>
      <c r="U11" s="7"/>
      <c r="V11" s="7"/>
    </row>
    <row r="12" spans="1:28" x14ac:dyDescent="0.3">
      <c r="A12" t="s">
        <v>300</v>
      </c>
      <c r="B12">
        <v>31.6579451457999</v>
      </c>
      <c r="C12" t="s">
        <v>662</v>
      </c>
      <c r="D12" t="s">
        <v>664</v>
      </c>
      <c r="E12" s="1">
        <f>E11/Lähtötiedot!D5</f>
        <v>25.497468712504578</v>
      </c>
      <c r="F12" s="1">
        <f>F11/Lähtötiedot!D5</f>
        <v>25.497468712504578</v>
      </c>
      <c r="M12" s="1">
        <f>E13</f>
        <v>20.073996932666763</v>
      </c>
      <c r="N12" s="4" t="s">
        <v>708</v>
      </c>
      <c r="O12" s="67"/>
      <c r="P12" s="67"/>
      <c r="Q12" s="5"/>
      <c r="R12" s="49">
        <f>O25</f>
        <v>1.5242619278709448</v>
      </c>
      <c r="S12" s="4" t="s">
        <v>714</v>
      </c>
      <c r="T12" s="67"/>
      <c r="U12" s="67"/>
      <c r="V12" s="5"/>
      <c r="X12" s="4" t="s">
        <v>666</v>
      </c>
      <c r="Y12" s="67"/>
      <c r="Z12" s="67"/>
      <c r="AA12" s="5"/>
      <c r="AB12" s="3">
        <f>O26</f>
        <v>108.80189962482181</v>
      </c>
    </row>
    <row r="13" spans="1:28" x14ac:dyDescent="0.3">
      <c r="A13" t="s">
        <v>300</v>
      </c>
      <c r="B13">
        <v>20.494129597800317</v>
      </c>
      <c r="C13" t="s">
        <v>648</v>
      </c>
      <c r="D13" t="s">
        <v>18</v>
      </c>
      <c r="E13" s="213">
        <f>100*SUM(E8:E10)/$E$4</f>
        <v>20.073996932666763</v>
      </c>
      <c r="F13" s="199">
        <f>100*SUM(F8:F10)/$E$4</f>
        <v>36.294493231358445</v>
      </c>
      <c r="M13" s="3">
        <f>F13</f>
        <v>36.294493231358445</v>
      </c>
      <c r="N13" s="6"/>
      <c r="O13" s="204"/>
      <c r="P13" s="204"/>
      <c r="Q13" s="98"/>
      <c r="R13" s="204"/>
      <c r="S13" s="97"/>
      <c r="T13" s="204"/>
      <c r="U13" s="7"/>
      <c r="V13" s="8"/>
      <c r="X13" s="6"/>
      <c r="Y13" s="7"/>
      <c r="Z13" s="7"/>
      <c r="AA13" s="8"/>
    </row>
    <row r="14" spans="1:28" ht="28.8" x14ac:dyDescent="0.3">
      <c r="N14" s="6"/>
      <c r="O14" s="205" t="s">
        <v>652</v>
      </c>
      <c r="P14" s="205" t="s">
        <v>653</v>
      </c>
      <c r="Q14" s="206" t="s">
        <v>654</v>
      </c>
      <c r="R14" s="201"/>
      <c r="S14" s="6"/>
      <c r="T14" s="205" t="s">
        <v>652</v>
      </c>
      <c r="U14" s="205" t="s">
        <v>653</v>
      </c>
      <c r="V14" s="206" t="s">
        <v>654</v>
      </c>
      <c r="X14" s="6"/>
      <c r="Y14" s="205" t="s">
        <v>652</v>
      </c>
      <c r="Z14" s="205" t="s">
        <v>653</v>
      </c>
      <c r="AA14" s="206" t="s">
        <v>654</v>
      </c>
    </row>
    <row r="15" spans="1:28" x14ac:dyDescent="0.3">
      <c r="A15" t="s">
        <v>300</v>
      </c>
      <c r="C15" t="s">
        <v>629</v>
      </c>
      <c r="E15" s="1">
        <f>0.1*M3</f>
        <v>679.68495825572359</v>
      </c>
      <c r="F15" t="s">
        <v>628</v>
      </c>
      <c r="N15" s="6" t="s">
        <v>687</v>
      </c>
      <c r="O15" s="220">
        <v>17.899999999999999</v>
      </c>
      <c r="P15" s="223">
        <v>19.5</v>
      </c>
      <c r="Q15" s="224">
        <v>20.5</v>
      </c>
      <c r="S15" s="6" t="s">
        <v>655</v>
      </c>
      <c r="T15" s="220">
        <v>1.9</v>
      </c>
      <c r="U15" s="220">
        <v>1.8</v>
      </c>
      <c r="V15" s="225">
        <v>1.6</v>
      </c>
      <c r="X15" s="6" t="s">
        <v>655</v>
      </c>
      <c r="Y15" s="220">
        <v>94</v>
      </c>
      <c r="Z15" s="220">
        <v>110</v>
      </c>
      <c r="AA15" s="225">
        <v>130</v>
      </c>
    </row>
    <row r="16" spans="1:28" x14ac:dyDescent="0.3">
      <c r="A16" t="s">
        <v>300</v>
      </c>
      <c r="C16" t="s">
        <v>630</v>
      </c>
      <c r="E16" s="1">
        <f>E3</f>
        <v>9603.0346137055822</v>
      </c>
      <c r="N16" s="6" t="s">
        <v>657</v>
      </c>
      <c r="O16" s="7">
        <v>35</v>
      </c>
      <c r="P16" s="211">
        <v>37</v>
      </c>
      <c r="Q16" s="212">
        <v>39</v>
      </c>
      <c r="S16" s="6" t="s">
        <v>656</v>
      </c>
      <c r="T16" s="220">
        <v>2.2000000000000002</v>
      </c>
      <c r="U16" s="220">
        <v>2.1</v>
      </c>
      <c r="V16" s="225">
        <v>1.9</v>
      </c>
      <c r="X16" s="6" t="s">
        <v>656</v>
      </c>
      <c r="Y16" s="220">
        <v>54</v>
      </c>
      <c r="Z16" s="220">
        <v>63</v>
      </c>
      <c r="AA16" s="225">
        <v>74</v>
      </c>
    </row>
    <row r="17" spans="1:45" x14ac:dyDescent="0.3">
      <c r="A17" t="s">
        <v>300</v>
      </c>
      <c r="C17" t="s">
        <v>635</v>
      </c>
      <c r="E17" s="1">
        <f>E16+E15</f>
        <v>10282.719571961306</v>
      </c>
      <c r="N17" s="6" t="s">
        <v>656</v>
      </c>
      <c r="O17" s="220">
        <v>17</v>
      </c>
      <c r="P17" s="220">
        <v>19</v>
      </c>
      <c r="Q17" s="225">
        <v>20</v>
      </c>
      <c r="S17" s="6" t="s">
        <v>688</v>
      </c>
      <c r="T17" s="221">
        <v>2.2000000000000002</v>
      </c>
      <c r="U17" s="221">
        <v>2.1</v>
      </c>
      <c r="V17" s="225">
        <v>1.9</v>
      </c>
      <c r="X17" s="6" t="s">
        <v>688</v>
      </c>
      <c r="Y17" s="220">
        <v>47</v>
      </c>
      <c r="Z17" s="220">
        <v>55</v>
      </c>
      <c r="AA17" s="225">
        <v>65</v>
      </c>
      <c r="AC17" t="s">
        <v>712</v>
      </c>
    </row>
    <row r="18" spans="1:45" x14ac:dyDescent="0.3">
      <c r="E18" s="1"/>
      <c r="N18" s="6" t="s">
        <v>680</v>
      </c>
      <c r="O18" s="221">
        <v>19</v>
      </c>
      <c r="P18" s="220">
        <v>20</v>
      </c>
      <c r="Q18" s="225">
        <v>21</v>
      </c>
      <c r="S18" s="6" t="str">
        <f>N19</f>
        <v>Nurmi+Kokovilja, 240 N</v>
      </c>
      <c r="T18" s="227">
        <v>2</v>
      </c>
      <c r="U18" s="221">
        <v>1.9</v>
      </c>
      <c r="V18" s="225">
        <v>1.7</v>
      </c>
      <c r="X18" s="6" t="str">
        <f>S18</f>
        <v>Nurmi+Kokovilja, 240 N</v>
      </c>
      <c r="Y18" s="221">
        <v>75</v>
      </c>
      <c r="Z18" s="221">
        <v>87</v>
      </c>
      <c r="AA18" s="225">
        <v>102</v>
      </c>
      <c r="AC18" t="s">
        <v>713</v>
      </c>
    </row>
    <row r="19" spans="1:45" x14ac:dyDescent="0.3">
      <c r="A19" t="s">
        <v>300</v>
      </c>
      <c r="C19" t="s">
        <v>636</v>
      </c>
      <c r="D19" t="s">
        <v>0</v>
      </c>
      <c r="E19" s="1">
        <f>0.2*E16</f>
        <v>1920.6069227411165</v>
      </c>
      <c r="F19" t="s">
        <v>631</v>
      </c>
      <c r="N19" s="9" t="s">
        <v>681</v>
      </c>
      <c r="O19" s="16">
        <v>16</v>
      </c>
      <c r="P19" s="16">
        <v>18</v>
      </c>
      <c r="Q19" s="90">
        <v>20</v>
      </c>
      <c r="S19" s="9"/>
      <c r="T19" s="15"/>
      <c r="U19" s="15"/>
      <c r="V19" s="11"/>
      <c r="X19" s="9"/>
      <c r="Y19" s="15"/>
      <c r="Z19" s="15"/>
      <c r="AA19" s="11"/>
    </row>
    <row r="20" spans="1:45" x14ac:dyDescent="0.3">
      <c r="A20" t="s">
        <v>300</v>
      </c>
      <c r="C20" t="s">
        <v>636</v>
      </c>
      <c r="D20" t="s">
        <v>18</v>
      </c>
      <c r="E20" s="157">
        <v>10</v>
      </c>
      <c r="F20" t="s">
        <v>632</v>
      </c>
      <c r="P20" s="7"/>
      <c r="Q20" s="7"/>
      <c r="S20" s="7"/>
      <c r="T20" s="7"/>
      <c r="U20" s="7"/>
      <c r="V20" s="7"/>
      <c r="X20" s="7"/>
      <c r="Y20" s="7"/>
      <c r="Z20" s="7"/>
      <c r="AA20" s="7"/>
    </row>
    <row r="21" spans="1:45" x14ac:dyDescent="0.3">
      <c r="A21" t="s">
        <v>300</v>
      </c>
      <c r="C21" t="s">
        <v>636</v>
      </c>
      <c r="D21" t="s">
        <v>0</v>
      </c>
      <c r="E21" s="1">
        <f>0.1*E19</f>
        <v>192.06069227411166</v>
      </c>
      <c r="F21" t="s">
        <v>633</v>
      </c>
    </row>
    <row r="22" spans="1:45" x14ac:dyDescent="0.3">
      <c r="A22" t="s">
        <v>300</v>
      </c>
      <c r="C22" t="s">
        <v>636</v>
      </c>
      <c r="D22" t="s">
        <v>0</v>
      </c>
      <c r="E22" s="1">
        <f>E19-E21</f>
        <v>1728.5462304670048</v>
      </c>
      <c r="F22" t="s">
        <v>634</v>
      </c>
      <c r="N22" s="2" t="str">
        <f>Karja!B4</f>
        <v>Normilehmä, Narutesti</v>
      </c>
      <c r="S22" s="25" t="s">
        <v>697</v>
      </c>
    </row>
    <row r="23" spans="1:45" x14ac:dyDescent="0.3">
      <c r="E23" s="1"/>
      <c r="N23" t="s">
        <v>683</v>
      </c>
      <c r="O23" s="23">
        <f>E13</f>
        <v>20.073996932666763</v>
      </c>
      <c r="P23" t="s">
        <v>18</v>
      </c>
      <c r="S23" s="25" t="s">
        <v>698</v>
      </c>
      <c r="AD23" t="s">
        <v>972</v>
      </c>
    </row>
    <row r="24" spans="1:45" x14ac:dyDescent="0.3">
      <c r="A24" t="s">
        <v>300</v>
      </c>
      <c r="B24" s="1"/>
      <c r="C24" t="s">
        <v>638</v>
      </c>
      <c r="D24" t="s">
        <v>0</v>
      </c>
      <c r="E24" s="1">
        <f>E17-E22</f>
        <v>8554.173341494301</v>
      </c>
      <c r="F24" t="s">
        <v>637</v>
      </c>
      <c r="N24" t="s">
        <v>684</v>
      </c>
      <c r="O24" s="23">
        <f>F13</f>
        <v>36.294493231358445</v>
      </c>
      <c r="P24" t="s">
        <v>18</v>
      </c>
      <c r="AD24" t="s">
        <v>973</v>
      </c>
    </row>
    <row r="25" spans="1:45" x14ac:dyDescent="0.3">
      <c r="A25" t="s">
        <v>300</v>
      </c>
      <c r="C25" t="s">
        <v>638</v>
      </c>
      <c r="D25" t="s">
        <v>0</v>
      </c>
      <c r="E25" s="1">
        <f>0.12*E24</f>
        <v>1026.5008009793162</v>
      </c>
      <c r="F25" s="25" t="s">
        <v>639</v>
      </c>
      <c r="N25" t="s">
        <v>682</v>
      </c>
      <c r="O25" s="196">
        <f>Pelto!D32</f>
        <v>1.5242619278709448</v>
      </c>
      <c r="P25" t="s">
        <v>5</v>
      </c>
      <c r="S25" t="s">
        <v>716</v>
      </c>
      <c r="AD25" t="s">
        <v>974</v>
      </c>
    </row>
    <row r="26" spans="1:45" x14ac:dyDescent="0.3">
      <c r="A26" t="s">
        <v>300</v>
      </c>
      <c r="C26" t="s">
        <v>638</v>
      </c>
      <c r="D26" t="s">
        <v>0</v>
      </c>
      <c r="E26" s="1">
        <f>0.2*E25</f>
        <v>205.30016019586324</v>
      </c>
      <c r="F26" t="s">
        <v>640</v>
      </c>
      <c r="N26" t="s">
        <v>666</v>
      </c>
      <c r="O26" s="23">
        <f>RavinnetaseN!J52</f>
        <v>108.80189962482181</v>
      </c>
      <c r="P26" t="s">
        <v>8</v>
      </c>
      <c r="S26" s="2" t="s">
        <v>715</v>
      </c>
      <c r="AD26" t="s">
        <v>1002</v>
      </c>
    </row>
    <row r="27" spans="1:45" x14ac:dyDescent="0.3">
      <c r="A27" t="s">
        <v>300</v>
      </c>
      <c r="C27" t="s">
        <v>638</v>
      </c>
      <c r="D27" t="s">
        <v>0</v>
      </c>
      <c r="E27" s="1">
        <f>E25-E26</f>
        <v>821.20064078345297</v>
      </c>
      <c r="F27" t="s">
        <v>641</v>
      </c>
      <c r="N27" t="s">
        <v>696</v>
      </c>
      <c r="O27" s="196">
        <f>Pelto!D26</f>
        <v>0.82657498968730037</v>
      </c>
      <c r="P27" t="s">
        <v>5</v>
      </c>
    </row>
    <row r="28" spans="1:45" x14ac:dyDescent="0.3">
      <c r="E28" s="1"/>
      <c r="N28" t="s">
        <v>689</v>
      </c>
      <c r="O28" s="23">
        <f>Pelto!H26</f>
        <v>220</v>
      </c>
      <c r="R28" s="49">
        <f>O29</f>
        <v>96.030346137055815</v>
      </c>
      <c r="S28" s="4" t="s">
        <v>700</v>
      </c>
      <c r="T28" s="67"/>
      <c r="U28" s="67"/>
      <c r="V28" s="5"/>
      <c r="X28" s="4" t="s">
        <v>702</v>
      </c>
      <c r="Y28" s="67"/>
      <c r="Z28" s="67"/>
      <c r="AA28" s="5"/>
      <c r="AB28">
        <f>O30</f>
        <v>9119.24</v>
      </c>
      <c r="AD28" s="4"/>
      <c r="AE28" s="67"/>
      <c r="AF28" s="67"/>
      <c r="AG28" s="67"/>
      <c r="AH28" s="67"/>
      <c r="AI28" s="5"/>
      <c r="AN28" t="s">
        <v>1027</v>
      </c>
      <c r="AP28" t="s">
        <v>728</v>
      </c>
      <c r="AQ28" t="s">
        <v>1016</v>
      </c>
      <c r="AR28" t="s">
        <v>337</v>
      </c>
    </row>
    <row r="29" spans="1:45" x14ac:dyDescent="0.3">
      <c r="A29" s="4" t="s">
        <v>300</v>
      </c>
      <c r="B29" s="67"/>
      <c r="C29" s="67" t="s">
        <v>651</v>
      </c>
      <c r="D29" s="67" t="s">
        <v>0</v>
      </c>
      <c r="E29" s="306">
        <f>E24-E27</f>
        <v>7732.9727007108477</v>
      </c>
      <c r="F29" s="67" t="s">
        <v>642</v>
      </c>
      <c r="G29" s="67"/>
      <c r="H29" s="67"/>
      <c r="I29" s="67"/>
      <c r="J29" s="67"/>
      <c r="K29" s="5"/>
      <c r="N29" t="s">
        <v>700</v>
      </c>
      <c r="O29" s="196">
        <f>RavinnetaseN!R17</f>
        <v>96.030346137055815</v>
      </c>
      <c r="P29" t="s">
        <v>995</v>
      </c>
      <c r="S29" s="97"/>
      <c r="T29" s="204"/>
      <c r="U29" s="7"/>
      <c r="V29" s="8"/>
      <c r="X29" s="97"/>
      <c r="Y29" s="204"/>
      <c r="Z29" s="7"/>
      <c r="AA29" s="8"/>
      <c r="AD29" s="97"/>
      <c r="AE29" s="204"/>
      <c r="AF29" s="7"/>
      <c r="AG29" s="7"/>
      <c r="AH29" s="7"/>
      <c r="AI29" s="8"/>
      <c r="AK29" t="s">
        <v>9</v>
      </c>
      <c r="AL29" t="s">
        <v>10</v>
      </c>
      <c r="AM29" t="s">
        <v>1007</v>
      </c>
      <c r="AN29" t="s">
        <v>1005</v>
      </c>
      <c r="AO29" t="s">
        <v>1012</v>
      </c>
      <c r="AP29" t="s">
        <v>1014</v>
      </c>
      <c r="AQ29" t="s">
        <v>1015</v>
      </c>
      <c r="AR29" t="s">
        <v>1026</v>
      </c>
    </row>
    <row r="30" spans="1:45" ht="43.2" x14ac:dyDescent="0.3">
      <c r="A30" s="6" t="s">
        <v>300</v>
      </c>
      <c r="B30" s="7"/>
      <c r="C30" s="7" t="s">
        <v>651</v>
      </c>
      <c r="D30" s="7" t="s">
        <v>31</v>
      </c>
      <c r="E30" s="177">
        <v>0.12</v>
      </c>
      <c r="F30" s="7" t="s">
        <v>645</v>
      </c>
      <c r="G30" s="7"/>
      <c r="H30" s="7"/>
      <c r="I30" s="7"/>
      <c r="J30" s="7"/>
      <c r="K30" s="8"/>
      <c r="N30" t="s">
        <v>38</v>
      </c>
      <c r="O30" s="2">
        <f>ekm_vuosituotos</f>
        <v>9119.24</v>
      </c>
      <c r="P30" t="s">
        <v>701</v>
      </c>
      <c r="S30" s="6"/>
      <c r="T30" s="205" t="s">
        <v>652</v>
      </c>
      <c r="U30" s="205" t="s">
        <v>653</v>
      </c>
      <c r="V30" s="206" t="s">
        <v>654</v>
      </c>
      <c r="X30" s="6"/>
      <c r="Y30" s="205" t="s">
        <v>652</v>
      </c>
      <c r="Z30" s="205" t="s">
        <v>653</v>
      </c>
      <c r="AA30" s="206" t="s">
        <v>654</v>
      </c>
      <c r="AD30" s="6"/>
      <c r="AE30" s="205" t="s">
        <v>729</v>
      </c>
      <c r="AF30" s="205" t="s">
        <v>999</v>
      </c>
      <c r="AG30" s="205" t="s">
        <v>1000</v>
      </c>
      <c r="AH30" s="324" t="s">
        <v>1003</v>
      </c>
      <c r="AI30" s="325" t="s">
        <v>1004</v>
      </c>
      <c r="AO30" s="3"/>
    </row>
    <row r="31" spans="1:45" x14ac:dyDescent="0.3">
      <c r="A31" s="6" t="s">
        <v>300</v>
      </c>
      <c r="B31" s="7"/>
      <c r="C31" s="7" t="s">
        <v>651</v>
      </c>
      <c r="D31" s="7" t="s">
        <v>0</v>
      </c>
      <c r="E31" s="171">
        <f>E30*E29</f>
        <v>927.95672408530163</v>
      </c>
      <c r="F31" s="7" t="s">
        <v>643</v>
      </c>
      <c r="G31" s="7"/>
      <c r="H31" s="7"/>
      <c r="I31" s="7"/>
      <c r="J31" s="7"/>
      <c r="K31" s="8"/>
      <c r="N31" t="s">
        <v>233</v>
      </c>
      <c r="O31">
        <f>maito_vuosituotos</f>
        <v>8654.750039292494</v>
      </c>
      <c r="P31" t="s">
        <v>701</v>
      </c>
      <c r="S31" s="6" t="s">
        <v>655</v>
      </c>
      <c r="T31" s="220">
        <v>70</v>
      </c>
      <c r="U31" s="220">
        <v>97</v>
      </c>
      <c r="V31" s="225">
        <v>117</v>
      </c>
      <c r="X31" s="6" t="s">
        <v>655</v>
      </c>
      <c r="Y31" s="221">
        <v>9536</v>
      </c>
      <c r="Z31" s="220">
        <v>10432</v>
      </c>
      <c r="AA31" s="225">
        <v>10675</v>
      </c>
      <c r="AD31" s="6" t="s">
        <v>1028</v>
      </c>
      <c r="AE31" s="222">
        <v>28.2</v>
      </c>
      <c r="AF31" s="222">
        <v>8.8000000000000007</v>
      </c>
      <c r="AG31" s="232">
        <v>9233</v>
      </c>
      <c r="AH31" s="7">
        <v>0.32</v>
      </c>
      <c r="AI31" s="8">
        <v>0.31</v>
      </c>
      <c r="AK31" s="3">
        <v>18048.531326853506</v>
      </c>
      <c r="AL31" s="3">
        <v>5745.0788711871191</v>
      </c>
      <c r="AM31" s="3">
        <v>17624.32759395631</v>
      </c>
      <c r="AN31" s="49">
        <v>0.31831281820916385</v>
      </c>
      <c r="AO31" s="3">
        <v>145.72416704910509</v>
      </c>
      <c r="AP31" s="3">
        <v>124.68194731499224</v>
      </c>
      <c r="AQ31" s="3">
        <v>179.27317289719625</v>
      </c>
      <c r="AR31">
        <v>0</v>
      </c>
    </row>
    <row r="32" spans="1:45" x14ac:dyDescent="0.3">
      <c r="A32" s="6" t="s">
        <v>300</v>
      </c>
      <c r="B32" s="7"/>
      <c r="C32" s="7" t="s">
        <v>651</v>
      </c>
      <c r="D32" s="7" t="s">
        <v>0</v>
      </c>
      <c r="E32" s="171">
        <f>0.2*E31</f>
        <v>185.59134481706033</v>
      </c>
      <c r="F32" s="7" t="s">
        <v>640</v>
      </c>
      <c r="G32" s="7"/>
      <c r="H32" s="7"/>
      <c r="I32" s="7"/>
      <c r="J32" s="7"/>
      <c r="K32" s="8"/>
      <c r="N32" t="s">
        <v>705</v>
      </c>
      <c r="O32" s="196">
        <f>Pelto!Q3+Pelto!Q4</f>
        <v>5.6290206338332105</v>
      </c>
      <c r="P32" t="s">
        <v>706</v>
      </c>
      <c r="S32" s="6" t="s">
        <v>656</v>
      </c>
      <c r="T32" s="220">
        <v>57</v>
      </c>
      <c r="U32" s="220">
        <v>80</v>
      </c>
      <c r="V32" s="225">
        <v>102</v>
      </c>
      <c r="X32" s="6" t="s">
        <v>656</v>
      </c>
      <c r="Y32" s="220">
        <v>9504</v>
      </c>
      <c r="Z32" s="220">
        <v>10208</v>
      </c>
      <c r="AA32" s="225">
        <v>10624</v>
      </c>
      <c r="AD32" s="6" t="s">
        <v>1001</v>
      </c>
      <c r="AE32" s="222">
        <v>31.6</v>
      </c>
      <c r="AF32" s="222">
        <v>10.1</v>
      </c>
      <c r="AG32" s="232">
        <v>9112</v>
      </c>
      <c r="AH32" s="7">
        <v>0.27</v>
      </c>
      <c r="AI32" s="236">
        <v>0.3</v>
      </c>
      <c r="AK32" s="3">
        <v>21142.344737918254</v>
      </c>
      <c r="AL32" s="3">
        <v>5678.0959817985095</v>
      </c>
      <c r="AM32" s="3">
        <v>20718.141005021058</v>
      </c>
      <c r="AN32" s="49">
        <v>0.26856510250800092</v>
      </c>
      <c r="AO32" s="3">
        <v>158.2658442186744</v>
      </c>
      <c r="AP32" s="3">
        <v>130.80106969629674</v>
      </c>
      <c r="AQ32" s="3">
        <v>179.27317289719625</v>
      </c>
      <c r="AR32" s="3">
        <v>33.08644648713657</v>
      </c>
      <c r="AS32" t="s">
        <v>1025</v>
      </c>
    </row>
    <row r="33" spans="1:44" x14ac:dyDescent="0.3">
      <c r="A33" s="9" t="s">
        <v>300</v>
      </c>
      <c r="B33" s="15"/>
      <c r="C33" s="15" t="s">
        <v>651</v>
      </c>
      <c r="D33" s="15" t="s">
        <v>0</v>
      </c>
      <c r="E33" s="10">
        <f>E31-E32</f>
        <v>742.36537926824133</v>
      </c>
      <c r="F33" s="15" t="s">
        <v>644</v>
      </c>
      <c r="G33" s="15"/>
      <c r="H33" s="15"/>
      <c r="I33" s="15"/>
      <c r="J33" s="15"/>
      <c r="K33" s="11"/>
      <c r="S33" s="6" t="s">
        <v>688</v>
      </c>
      <c r="T33" s="220">
        <v>85</v>
      </c>
      <c r="U33" s="220">
        <v>108</v>
      </c>
      <c r="V33" s="225">
        <v>131</v>
      </c>
      <c r="X33" s="6" t="s">
        <v>688</v>
      </c>
      <c r="Y33" s="220">
        <v>9856</v>
      </c>
      <c r="Z33" s="220">
        <v>10464</v>
      </c>
      <c r="AA33" s="225">
        <v>10784</v>
      </c>
      <c r="AD33" s="6" t="s">
        <v>971</v>
      </c>
      <c r="AE33" s="222">
        <v>25.1</v>
      </c>
      <c r="AF33" s="222">
        <v>8.1</v>
      </c>
      <c r="AG33" s="232">
        <v>8959</v>
      </c>
      <c r="AH33" s="7">
        <v>0.28999999999999998</v>
      </c>
      <c r="AI33" s="8">
        <v>0.32</v>
      </c>
      <c r="AK33" s="3">
        <v>19265.014630188201</v>
      </c>
      <c r="AL33" s="3">
        <v>5594.3673700627478</v>
      </c>
      <c r="AM33" s="3">
        <v>18840.810897291005</v>
      </c>
      <c r="AN33" s="49">
        <v>0.29038998814443651</v>
      </c>
      <c r="AO33" s="3">
        <v>141.42913085004776</v>
      </c>
      <c r="AP33" s="3">
        <v>116</v>
      </c>
      <c r="AQ33" s="3">
        <v>179</v>
      </c>
      <c r="AR33" s="3">
        <v>0</v>
      </c>
    </row>
    <row r="34" spans="1:44" x14ac:dyDescent="0.3">
      <c r="N34" s="4" t="s">
        <v>1030</v>
      </c>
      <c r="O34" s="306">
        <f>E7/Lähtötiedot!D5</f>
        <v>32.921122505186993</v>
      </c>
      <c r="P34" s="5" t="s">
        <v>728</v>
      </c>
      <c r="S34" s="6" t="str">
        <f>N19</f>
        <v>Nurmi+Kokovilja, 240 N</v>
      </c>
      <c r="T34" s="221">
        <v>57</v>
      </c>
      <c r="U34" s="221">
        <v>79</v>
      </c>
      <c r="V34" s="225">
        <v>102</v>
      </c>
      <c r="X34" s="6" t="str">
        <f>S34</f>
        <v>Nurmi+Kokovilja, 240 N</v>
      </c>
      <c r="Y34" s="221">
        <v>10080</v>
      </c>
      <c r="Z34" s="221">
        <v>10784</v>
      </c>
      <c r="AA34" s="225">
        <v>11200</v>
      </c>
      <c r="AD34" s="6" t="s">
        <v>1013</v>
      </c>
      <c r="AE34" s="227">
        <v>32.9</v>
      </c>
      <c r="AF34" s="227">
        <v>10.199999999999999</v>
      </c>
      <c r="AG34" s="232">
        <v>9386</v>
      </c>
      <c r="AH34" s="7">
        <v>0.28000000000000003</v>
      </c>
      <c r="AI34" s="8">
        <v>0.28999999999999998</v>
      </c>
      <c r="AK34" s="3">
        <v>20573.033795721545</v>
      </c>
      <c r="AL34" s="3">
        <v>5828.807482922879</v>
      </c>
      <c r="AM34" s="3">
        <v>16796.546062824349</v>
      </c>
      <c r="AN34" s="49">
        <v>0.28332270003537652</v>
      </c>
      <c r="AO34" s="3">
        <v>163.06573816155989</v>
      </c>
      <c r="AP34" s="3">
        <v>136</v>
      </c>
      <c r="AQ34" s="3">
        <v>3523</v>
      </c>
      <c r="AR34" s="3">
        <v>28</v>
      </c>
    </row>
    <row r="35" spans="1:44" x14ac:dyDescent="0.3">
      <c r="A35" s="4" t="s">
        <v>300</v>
      </c>
      <c r="B35" s="67"/>
      <c r="C35" s="67" t="s">
        <v>950</v>
      </c>
      <c r="D35" s="67" t="s">
        <v>0</v>
      </c>
      <c r="E35" s="306">
        <f>E29</f>
        <v>7732.9727007108477</v>
      </c>
      <c r="F35" s="67" t="s">
        <v>642</v>
      </c>
      <c r="G35" s="67"/>
      <c r="H35" s="67"/>
      <c r="I35" s="67"/>
      <c r="J35" s="67"/>
      <c r="K35" s="5"/>
      <c r="N35" s="9" t="s">
        <v>1036</v>
      </c>
      <c r="O35" s="10">
        <f>F7/Lähtötiedot!D5</f>
        <v>59.522548595632315</v>
      </c>
      <c r="P35" s="11" t="s">
        <v>728</v>
      </c>
      <c r="S35" s="9"/>
      <c r="T35" s="15"/>
      <c r="U35" s="15"/>
      <c r="V35" s="11"/>
      <c r="X35" s="9"/>
      <c r="Y35" s="15"/>
      <c r="Z35" s="15"/>
      <c r="AA35" s="11"/>
      <c r="AD35" s="9"/>
      <c r="AE35" s="15"/>
      <c r="AF35" s="15"/>
      <c r="AG35" s="15"/>
      <c r="AH35" s="15"/>
      <c r="AI35" s="11"/>
    </row>
    <row r="36" spans="1:44" x14ac:dyDescent="0.3">
      <c r="A36" s="6" t="s">
        <v>300</v>
      </c>
      <c r="B36" s="7"/>
      <c r="C36" s="7" t="s">
        <v>950</v>
      </c>
      <c r="D36" s="7" t="s">
        <v>31</v>
      </c>
      <c r="E36" s="177">
        <v>0.55000000000000004</v>
      </c>
      <c r="F36" s="7" t="s">
        <v>949</v>
      </c>
      <c r="G36" s="7"/>
      <c r="H36" s="7"/>
      <c r="I36" s="7"/>
      <c r="J36" s="7"/>
      <c r="K36" s="8"/>
      <c r="N36" t="s">
        <v>731</v>
      </c>
      <c r="O36" s="49">
        <f>RavinnetaseN!M26</f>
        <v>0.28059480257548247</v>
      </c>
      <c r="P36" t="s">
        <v>31</v>
      </c>
    </row>
    <row r="37" spans="1:44" x14ac:dyDescent="0.3">
      <c r="A37" s="6" t="s">
        <v>300</v>
      </c>
      <c r="B37" s="7"/>
      <c r="C37" s="7" t="s">
        <v>950</v>
      </c>
      <c r="D37" s="7" t="s">
        <v>0</v>
      </c>
      <c r="E37" s="171">
        <f>E36*E35</f>
        <v>4253.1349853909669</v>
      </c>
      <c r="F37" s="7" t="s">
        <v>643</v>
      </c>
      <c r="G37" s="7"/>
      <c r="H37" s="7"/>
      <c r="I37" s="7"/>
      <c r="J37" s="7"/>
      <c r="K37" s="8"/>
      <c r="N37" t="s">
        <v>1032</v>
      </c>
      <c r="O37" s="49">
        <f>RavinnetaseN!M27</f>
        <v>0.24655255836821338</v>
      </c>
      <c r="P37" t="s">
        <v>1031</v>
      </c>
      <c r="R37" s="49">
        <f>O32</f>
        <v>5.6290206338332105</v>
      </c>
      <c r="S37" s="4" t="s">
        <v>704</v>
      </c>
      <c r="T37" s="67"/>
      <c r="U37" s="67"/>
      <c r="V37" s="5"/>
      <c r="X37" s="4" t="s">
        <v>707</v>
      </c>
      <c r="Y37" s="67"/>
      <c r="Z37" s="67"/>
      <c r="AA37" s="5"/>
      <c r="AB37" s="49">
        <f>O27</f>
        <v>0.82657498968730037</v>
      </c>
      <c r="AD37" t="str">
        <f>Karja!B4</f>
        <v>Normilehmä, Narutesti</v>
      </c>
      <c r="AE37" s="1">
        <f>O34</f>
        <v>32.921122505186993</v>
      </c>
      <c r="AF37">
        <f>O38</f>
        <v>11.09568106543561</v>
      </c>
      <c r="AG37">
        <f>O31</f>
        <v>8654.750039292494</v>
      </c>
      <c r="AH37" s="49">
        <f>O37</f>
        <v>0.24655255836821338</v>
      </c>
      <c r="AI37" s="49">
        <f>O36</f>
        <v>0.28059480257548247</v>
      </c>
      <c r="AK37" s="199">
        <f>O41</f>
        <v>22011.169474406419</v>
      </c>
      <c r="AL37" s="199">
        <f>O42</f>
        <v>5426.9101465912254</v>
      </c>
      <c r="AM37" s="199">
        <f>O43</f>
        <v>16522.462454331649</v>
      </c>
      <c r="AN37" s="200">
        <f>AL37/AK37</f>
        <v>0.24655255836821338</v>
      </c>
      <c r="AO37" s="199">
        <f>Karja!G11</f>
        <v>168.31632653061226</v>
      </c>
      <c r="AP37" s="3">
        <f>Pelto!M34</f>
        <v>131.7901232501236</v>
      </c>
      <c r="AQ37" s="3">
        <f>RavinnetaseN!I45</f>
        <v>5243.7764600747678</v>
      </c>
      <c r="AR37" s="3">
        <f>Pelto!S26</f>
        <v>49.398280902839602</v>
      </c>
    </row>
    <row r="38" spans="1:44" x14ac:dyDescent="0.3">
      <c r="A38" s="6" t="s">
        <v>300</v>
      </c>
      <c r="B38" s="7"/>
      <c r="C38" s="7" t="s">
        <v>950</v>
      </c>
      <c r="D38" s="7" t="s">
        <v>0</v>
      </c>
      <c r="E38" s="171">
        <f>0.2*E37</f>
        <v>850.62699707819343</v>
      </c>
      <c r="F38" s="7" t="s">
        <v>640</v>
      </c>
      <c r="G38" s="7"/>
      <c r="H38" s="7"/>
      <c r="I38" s="7"/>
      <c r="J38" s="7"/>
      <c r="K38" s="8"/>
      <c r="N38" t="s">
        <v>996</v>
      </c>
      <c r="O38">
        <f>1000*O29/O31</f>
        <v>11.09568106543561</v>
      </c>
      <c r="P38" t="s">
        <v>997</v>
      </c>
      <c r="S38" s="97"/>
      <c r="T38" s="204"/>
      <c r="U38" s="7"/>
      <c r="V38" s="8"/>
      <c r="X38" s="97"/>
      <c r="Y38" s="204"/>
      <c r="Z38" s="7"/>
      <c r="AA38" s="8"/>
      <c r="AK38" t="s">
        <v>9</v>
      </c>
      <c r="AL38" t="s">
        <v>10</v>
      </c>
      <c r="AM38" t="s">
        <v>1007</v>
      </c>
    </row>
    <row r="39" spans="1:44" ht="28.8" x14ac:dyDescent="0.3">
      <c r="A39" s="9" t="s">
        <v>300</v>
      </c>
      <c r="B39" s="15"/>
      <c r="C39" s="7" t="s">
        <v>950</v>
      </c>
      <c r="D39" s="15" t="s">
        <v>0</v>
      </c>
      <c r="E39" s="10">
        <f>E37-E38</f>
        <v>3402.5079883127737</v>
      </c>
      <c r="F39" s="15" t="s">
        <v>644</v>
      </c>
      <c r="G39" s="15"/>
      <c r="H39" s="15"/>
      <c r="I39" s="15"/>
      <c r="J39" s="15"/>
      <c r="K39" s="11"/>
      <c r="S39" s="6"/>
      <c r="T39" s="205" t="s">
        <v>652</v>
      </c>
      <c r="U39" s="205" t="s">
        <v>653</v>
      </c>
      <c r="V39" s="206" t="s">
        <v>654</v>
      </c>
      <c r="X39" s="6"/>
      <c r="Y39" s="205" t="s">
        <v>652</v>
      </c>
      <c r="Z39" s="205" t="s">
        <v>653</v>
      </c>
      <c r="AA39" s="206" t="s">
        <v>654</v>
      </c>
    </row>
    <row r="40" spans="1:44" x14ac:dyDescent="0.3">
      <c r="N40" t="s">
        <v>1005</v>
      </c>
      <c r="S40" s="6" t="s">
        <v>655</v>
      </c>
      <c r="T40" s="222">
        <v>5.9</v>
      </c>
      <c r="U40" s="222">
        <v>6.2</v>
      </c>
      <c r="V40" s="226">
        <v>6.3</v>
      </c>
      <c r="X40" s="6" t="s">
        <v>655</v>
      </c>
      <c r="Y40" s="222">
        <v>0.7</v>
      </c>
      <c r="Z40" s="222">
        <v>0.86</v>
      </c>
      <c r="AA40" s="226">
        <v>0.9</v>
      </c>
    </row>
    <row r="41" spans="1:44" x14ac:dyDescent="0.3">
      <c r="N41" t="s">
        <v>9</v>
      </c>
      <c r="O41" s="3">
        <f>RavinnetaseN!I50</f>
        <v>22011.169474406419</v>
      </c>
      <c r="S41" s="6" t="s">
        <v>656</v>
      </c>
      <c r="T41" s="222">
        <v>5.9</v>
      </c>
      <c r="U41" s="222">
        <v>6.1</v>
      </c>
      <c r="V41" s="226">
        <v>6.3</v>
      </c>
      <c r="X41" s="6" t="s">
        <v>656</v>
      </c>
      <c r="Y41" s="171">
        <v>1</v>
      </c>
      <c r="Z41" s="222">
        <v>1.2</v>
      </c>
      <c r="AA41" s="226">
        <v>1.3</v>
      </c>
      <c r="AE41" s="1">
        <f>AE34-AE33</f>
        <v>7.7999999999999972</v>
      </c>
      <c r="AF41" s="1">
        <f>AF34-AF33</f>
        <v>2.0999999999999996</v>
      </c>
      <c r="AG41" s="1">
        <f>AG34-AG33</f>
        <v>427</v>
      </c>
    </row>
    <row r="42" spans="1:44" x14ac:dyDescent="0.3">
      <c r="N42" t="s">
        <v>10</v>
      </c>
      <c r="O42" s="3">
        <f>RavinnetaseN!J50</f>
        <v>5426.9101465912254</v>
      </c>
      <c r="S42" s="6" t="s">
        <v>688</v>
      </c>
      <c r="T42" s="222">
        <v>6.1</v>
      </c>
      <c r="U42" s="222">
        <v>6.3</v>
      </c>
      <c r="V42" s="226">
        <v>6.5</v>
      </c>
      <c r="X42" s="6" t="s">
        <v>688</v>
      </c>
      <c r="Y42" s="222">
        <v>1.23</v>
      </c>
      <c r="Z42" s="222">
        <v>1.27</v>
      </c>
      <c r="AA42" s="226">
        <v>1.3</v>
      </c>
      <c r="AD42" t="s">
        <v>1039</v>
      </c>
      <c r="AE42">
        <f>AE41/AE34</f>
        <v>0.23708206686930083</v>
      </c>
      <c r="AF42">
        <f>AF41/AF34</f>
        <v>0.20588235294117646</v>
      </c>
      <c r="AG42">
        <f>AG41/AG34</f>
        <v>4.5493287875559341E-2</v>
      </c>
    </row>
    <row r="43" spans="1:44" x14ac:dyDescent="0.3">
      <c r="N43" t="s">
        <v>1006</v>
      </c>
      <c r="O43" s="3">
        <f>RavinnetaseN!I42</f>
        <v>16522.462454331649</v>
      </c>
      <c r="S43" s="6" t="str">
        <f>S34</f>
        <v>Nurmi+Kokovilja, 240 N</v>
      </c>
      <c r="T43" s="227">
        <v>6.7</v>
      </c>
      <c r="U43" s="227">
        <v>6.9</v>
      </c>
      <c r="V43" s="226">
        <v>7</v>
      </c>
      <c r="X43" s="6" t="str">
        <f>X34</f>
        <v>Nurmi+Kokovilja, 240 N</v>
      </c>
      <c r="Y43" s="222">
        <v>0.5</v>
      </c>
      <c r="Z43" s="227">
        <v>0.6</v>
      </c>
      <c r="AA43" s="226">
        <v>0.6</v>
      </c>
      <c r="AD43" t="s">
        <v>1040</v>
      </c>
      <c r="AE43" s="1">
        <f>(AE32-AE31)/AE32</f>
        <v>0.10759493670886082</v>
      </c>
      <c r="AF43" s="1">
        <f t="shared" ref="AF43:AG43" si="3">(AF32-AF31)/AF32</f>
        <v>0.12871287128712861</v>
      </c>
      <c r="AG43" s="1">
        <f t="shared" si="3"/>
        <v>-1.3279192273924495E-2</v>
      </c>
    </row>
    <row r="44" spans="1:44" x14ac:dyDescent="0.3">
      <c r="S44" s="9"/>
      <c r="T44" s="15"/>
      <c r="U44" s="15"/>
      <c r="V44" s="11"/>
      <c r="X44" s="9"/>
      <c r="Y44" s="15"/>
      <c r="Z44" s="15"/>
      <c r="AA44" s="11"/>
    </row>
    <row r="45" spans="1:44" x14ac:dyDescent="0.3">
      <c r="S45" s="7"/>
      <c r="T45" s="7"/>
      <c r="U45" s="7"/>
      <c r="V45" s="7"/>
      <c r="X45" s="7"/>
      <c r="Y45" s="7"/>
      <c r="Z45" s="7"/>
      <c r="AA45" s="7"/>
    </row>
    <row r="46" spans="1:44" x14ac:dyDescent="0.3">
      <c r="R46" s="1">
        <f>O34</f>
        <v>32.921122505186993</v>
      </c>
      <c r="S46" s="4" t="s">
        <v>729</v>
      </c>
      <c r="T46" s="67"/>
      <c r="U46" s="67"/>
      <c r="V46" s="5"/>
      <c r="X46" s="4" t="s">
        <v>732</v>
      </c>
      <c r="Y46" s="67"/>
      <c r="Z46" s="67"/>
      <c r="AA46" s="5"/>
    </row>
    <row r="47" spans="1:44" x14ac:dyDescent="0.3">
      <c r="N47" t="s">
        <v>1064</v>
      </c>
      <c r="S47" s="97"/>
      <c r="T47" s="204"/>
      <c r="U47" s="7"/>
      <c r="V47" s="8"/>
      <c r="X47" s="97"/>
      <c r="Y47" s="204"/>
      <c r="Z47" s="7"/>
      <c r="AA47" s="8"/>
    </row>
    <row r="48" spans="1:44" ht="28.8" x14ac:dyDescent="0.3">
      <c r="S48" s="6"/>
      <c r="T48" s="205" t="s">
        <v>652</v>
      </c>
      <c r="U48" s="205" t="s">
        <v>653</v>
      </c>
      <c r="V48" s="206" t="s">
        <v>654</v>
      </c>
      <c r="X48" s="6"/>
      <c r="Y48" s="205" t="s">
        <v>652</v>
      </c>
      <c r="Z48" s="205" t="s">
        <v>653</v>
      </c>
      <c r="AA48" s="206" t="s">
        <v>654</v>
      </c>
    </row>
    <row r="49" spans="19:27" x14ac:dyDescent="0.3">
      <c r="S49" s="6" t="s">
        <v>655</v>
      </c>
      <c r="T49" s="232">
        <v>25</v>
      </c>
      <c r="U49" s="232">
        <v>33</v>
      </c>
      <c r="V49" s="96">
        <v>40</v>
      </c>
      <c r="X49" s="6" t="s">
        <v>655</v>
      </c>
      <c r="Y49" s="231">
        <v>0.32</v>
      </c>
      <c r="Z49" s="231">
        <v>0.28000000000000003</v>
      </c>
      <c r="AA49" s="233">
        <v>0.26</v>
      </c>
    </row>
    <row r="50" spans="19:27" x14ac:dyDescent="0.3">
      <c r="S50" s="6" t="s">
        <v>656</v>
      </c>
      <c r="T50" s="232">
        <v>20</v>
      </c>
      <c r="U50" s="232">
        <v>28</v>
      </c>
      <c r="V50" s="96">
        <v>35</v>
      </c>
      <c r="X50" s="6" t="s">
        <v>656</v>
      </c>
      <c r="Y50" s="177">
        <v>0.35</v>
      </c>
      <c r="Z50" s="231">
        <v>0.3</v>
      </c>
      <c r="AA50" s="233">
        <v>0.27</v>
      </c>
    </row>
    <row r="51" spans="19:27" x14ac:dyDescent="0.3">
      <c r="S51" s="6" t="s">
        <v>688</v>
      </c>
      <c r="T51" s="232">
        <v>29</v>
      </c>
      <c r="U51" s="232">
        <v>37</v>
      </c>
      <c r="V51" s="96">
        <v>45</v>
      </c>
      <c r="X51" s="6" t="s">
        <v>688</v>
      </c>
      <c r="Y51" s="231">
        <v>0.31</v>
      </c>
      <c r="Z51" s="231">
        <v>0.27</v>
      </c>
      <c r="AA51" s="233">
        <v>0.24</v>
      </c>
    </row>
    <row r="52" spans="19:27" x14ac:dyDescent="0.3">
      <c r="S52" s="6" t="str">
        <f>S43</f>
        <v>Nurmi+Kokovilja, 240 N</v>
      </c>
      <c r="T52" s="234">
        <v>20</v>
      </c>
      <c r="U52" s="234">
        <v>28</v>
      </c>
      <c r="V52" s="96">
        <v>35</v>
      </c>
      <c r="X52" s="6" t="str">
        <f>X43</f>
        <v>Nurmi+Kokovilja, 240 N</v>
      </c>
      <c r="Y52" s="231">
        <v>0.35</v>
      </c>
      <c r="Z52" s="235">
        <v>0.31</v>
      </c>
      <c r="AA52" s="233">
        <v>0.27</v>
      </c>
    </row>
    <row r="53" spans="19:27" x14ac:dyDescent="0.3">
      <c r="S53" s="9"/>
      <c r="T53" s="15"/>
      <c r="U53" s="15"/>
      <c r="V53" s="11"/>
      <c r="X53" s="9"/>
      <c r="Y53" s="15"/>
      <c r="Z53" s="15"/>
      <c r="AA53" s="11"/>
    </row>
    <row r="55" spans="19:27" ht="26.4" customHeight="1" x14ac:dyDescent="0.3">
      <c r="S55" s="4" t="s">
        <v>998</v>
      </c>
      <c r="T55" s="217" t="s">
        <v>652</v>
      </c>
      <c r="U55" s="217" t="s">
        <v>653</v>
      </c>
      <c r="V55" s="218" t="s">
        <v>654</v>
      </c>
    </row>
    <row r="56" spans="19:27" x14ac:dyDescent="0.3">
      <c r="S56" s="6" t="str">
        <f>S40</f>
        <v>Nurmi, 240 kg N</v>
      </c>
      <c r="T56" s="177">
        <f>1000*T31/Y31</f>
        <v>7.3406040268456376</v>
      </c>
      <c r="U56" s="177">
        <f>1000*U31/Z31</f>
        <v>9.2983128834355835</v>
      </c>
      <c r="V56" s="236">
        <f>1000*V31/AA31</f>
        <v>10.960187353629976</v>
      </c>
      <c r="X56" s="49">
        <f>V56-T56</f>
        <v>3.6195833267843387</v>
      </c>
      <c r="Y56">
        <f>X56/V56</f>
        <v>0.33024830780703263</v>
      </c>
    </row>
    <row r="57" spans="19:27" x14ac:dyDescent="0.3">
      <c r="S57" s="6" t="str">
        <f t="shared" ref="S57:S59" si="4">S41</f>
        <v>Nurmi, 120 kg N</v>
      </c>
      <c r="T57" s="177">
        <f>1000*T32/Y32</f>
        <v>5.9974747474747474</v>
      </c>
      <c r="U57" s="177">
        <f t="shared" ref="U57:V57" si="5">1000*U32/Z32</f>
        <v>7.8369905956112849</v>
      </c>
      <c r="V57" s="236">
        <f t="shared" si="5"/>
        <v>9.600903614457831</v>
      </c>
      <c r="X57" s="49">
        <f t="shared" ref="X57:X59" si="6">V57-T57</f>
        <v>3.6034288669830836</v>
      </c>
      <c r="Y57">
        <f t="shared" ref="Y57:Y59" si="7">X57/V57</f>
        <v>0.37532184591008122</v>
      </c>
    </row>
    <row r="58" spans="19:27" x14ac:dyDescent="0.3">
      <c r="S58" s="6" t="str">
        <f t="shared" si="4"/>
        <v>Nurmi+Apila, 120 kg N</v>
      </c>
      <c r="T58" s="177">
        <f>1000*T33/Y33</f>
        <v>8.6241883116883109</v>
      </c>
      <c r="U58" s="177">
        <f t="shared" ref="U58:V58" si="8">1000*U33/Z33</f>
        <v>10.321100917431192</v>
      </c>
      <c r="V58" s="236">
        <f t="shared" si="8"/>
        <v>12.147626112759644</v>
      </c>
      <c r="X58" s="49">
        <f t="shared" si="6"/>
        <v>3.5234378010713332</v>
      </c>
      <c r="Y58">
        <f t="shared" si="7"/>
        <v>0.29005155150193324</v>
      </c>
    </row>
    <row r="59" spans="19:27" x14ac:dyDescent="0.3">
      <c r="S59" s="6" t="str">
        <f t="shared" si="4"/>
        <v>Nurmi+Kokovilja, 240 N</v>
      </c>
      <c r="T59" s="177">
        <f>1000*T34/Y34</f>
        <v>5.6547619047619051</v>
      </c>
      <c r="U59" s="177">
        <f t="shared" ref="U59:V59" si="9">1000*U34/Z34</f>
        <v>7.3256676557863498</v>
      </c>
      <c r="V59" s="236">
        <f t="shared" si="9"/>
        <v>9.1071428571428577</v>
      </c>
      <c r="X59" s="49">
        <f t="shared" si="6"/>
        <v>3.4523809523809526</v>
      </c>
      <c r="Y59">
        <f t="shared" si="7"/>
        <v>0.37908496732026142</v>
      </c>
    </row>
    <row r="60" spans="19:27" x14ac:dyDescent="0.3">
      <c r="S60" s="9"/>
      <c r="T60" s="15"/>
      <c r="U60" s="15"/>
      <c r="V60" s="11"/>
    </row>
    <row r="62" spans="19:27" x14ac:dyDescent="0.3">
      <c r="T62" s="49">
        <f>AVERAGE(T56:T59)</f>
        <v>6.9042572476926498</v>
      </c>
      <c r="U62" s="49">
        <f t="shared" ref="U62:V62" si="10">AVERAGE(U56:U59)</f>
        <v>8.6955180130661027</v>
      </c>
      <c r="V62" s="49">
        <f t="shared" si="10"/>
        <v>10.453964984497578</v>
      </c>
    </row>
    <row r="64" spans="19:27" x14ac:dyDescent="0.3">
      <c r="T64" s="49">
        <f>T56-T57</f>
        <v>1.3431292793708902</v>
      </c>
      <c r="U64" s="49">
        <f t="shared" ref="U64:V64" si="11">U56-U57</f>
        <v>1.4613222878242986</v>
      </c>
      <c r="V64" s="49">
        <f t="shared" si="11"/>
        <v>1.3592837391721453</v>
      </c>
    </row>
  </sheetData>
  <pageMargins left="0.7" right="0.7" top="0.75" bottom="0.75" header="0.3" footer="0.3"/>
  <pageSetup paperSize="9" orientation="portrait" horizontalDpi="300" verticalDpi="300"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Laskentataulukot</vt:lpstr>
      </vt:variant>
      <vt:variant>
        <vt:i4>14</vt:i4>
      </vt:variant>
      <vt:variant>
        <vt:lpstr>Nimetyt alueet</vt:lpstr>
      </vt:variant>
      <vt:variant>
        <vt:i4>21</vt:i4>
      </vt:variant>
    </vt:vector>
  </HeadingPairs>
  <TitlesOfParts>
    <vt:vector size="35" baseType="lpstr">
      <vt:lpstr>Tarkistettavaa</vt:lpstr>
      <vt:lpstr>Ohjeita</vt:lpstr>
      <vt:lpstr>Tulokset2</vt:lpstr>
      <vt:lpstr>Tulokset</vt:lpstr>
      <vt:lpstr>Lähtötiedot</vt:lpstr>
      <vt:lpstr>Karja</vt:lpstr>
      <vt:lpstr>Pelto</vt:lpstr>
      <vt:lpstr>RavinnetaseN</vt:lpstr>
      <vt:lpstr>Ammoniakki</vt:lpstr>
      <vt:lpstr>RavinnetaseP</vt:lpstr>
      <vt:lpstr>Talous</vt:lpstr>
      <vt:lpstr>Funktiot</vt:lpstr>
      <vt:lpstr>Ristitsekkausta</vt:lpstr>
      <vt:lpstr>Taul1</vt:lpstr>
      <vt:lpstr>DM</vt:lpstr>
      <vt:lpstr>ekm_vuosituotos</vt:lpstr>
      <vt:lpstr>Elopaino</vt:lpstr>
      <vt:lpstr>Ka_So</vt:lpstr>
      <vt:lpstr>Ka_virtsavakio</vt:lpstr>
      <vt:lpstr>lannoitus</vt:lpstr>
      <vt:lpstr>lannoitusA</vt:lpstr>
      <vt:lpstr>maito_vuosituotos</vt:lpstr>
      <vt:lpstr>N_ruho</vt:lpstr>
      <vt:lpstr>N_virtsa</vt:lpstr>
      <vt:lpstr>Sato_apila</vt:lpstr>
      <vt:lpstr>Sato_kokovilja</vt:lpstr>
      <vt:lpstr>Sato_nurmi</vt:lpstr>
      <vt:lpstr>silageyield</vt:lpstr>
      <vt:lpstr>subsidy</vt:lpstr>
      <vt:lpstr>Sulamaton_Diet</vt:lpstr>
      <vt:lpstr>Sulamaton_RV</vt:lpstr>
      <vt:lpstr>Sulamaton_umpi</vt:lpstr>
      <vt:lpstr>VasikanPaino</vt:lpstr>
      <vt:lpstr>weight</vt:lpstr>
      <vt:lpstr>wight</vt:lpstr>
    </vt:vector>
  </TitlesOfParts>
  <Company>LUKE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Auvo</dc:creator>
  <cp:lastModifiedBy>Sairanen Auvo</cp:lastModifiedBy>
  <cp:lastPrinted>2017-10-25T06:54:10Z</cp:lastPrinted>
  <dcterms:created xsi:type="dcterms:W3CDTF">2016-10-06T04:33:09Z</dcterms:created>
  <dcterms:modified xsi:type="dcterms:W3CDTF">2019-10-22T06:01:12Z</dcterms:modified>
</cp:coreProperties>
</file>